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8795" windowHeight="11760" activeTab="1"/>
  </bookViews>
  <sheets>
    <sheet name="FINANCIERA " sheetId="1" r:id="rId1"/>
    <sheet name="ECONOMICA EQUIPOS" sheetId="2" r:id="rId2"/>
    <sheet name="RESUMEN ECONOMICA" sheetId="3" r:id="rId3"/>
  </sheets>
  <definedNames>
    <definedName name="_xlnm.Print_Area" localSheetId="0">'FINANCIERA '!$A$1:$F$28</definedName>
    <definedName name="_xlnm.Print_Area" localSheetId="2">'RESUMEN ECONOMICA'!$A$1:$D$29</definedName>
  </definedNames>
  <calcPr calcId="145621"/>
</workbook>
</file>

<file path=xl/calcChain.xml><?xml version="1.0" encoding="utf-8"?>
<calcChain xmlns="http://schemas.openxmlformats.org/spreadsheetml/2006/main">
  <c r="C61" i="2" l="1"/>
  <c r="C52" i="2"/>
  <c r="C34" i="2"/>
  <c r="C25" i="2"/>
  <c r="C16" i="2"/>
  <c r="C6" i="3"/>
  <c r="C25" i="3" s="1"/>
  <c r="C40" i="2"/>
  <c r="C31" i="2"/>
  <c r="C22" i="2"/>
  <c r="D48" i="2" l="1"/>
  <c r="D30" i="2"/>
  <c r="D29" i="2"/>
  <c r="D28" i="2"/>
  <c r="D26" i="2"/>
  <c r="J6" i="2"/>
  <c r="J7" i="2"/>
  <c r="J8" i="2"/>
  <c r="J9" i="2"/>
  <c r="J10" i="2"/>
  <c r="J5" i="2"/>
  <c r="D24" i="1"/>
  <c r="D22" i="1"/>
  <c r="C67" i="2"/>
  <c r="C58" i="2"/>
  <c r="C43" i="2"/>
  <c r="C49" i="2" s="1"/>
  <c r="D35" i="2"/>
  <c r="C24" i="1"/>
  <c r="C22" i="1"/>
  <c r="D44" i="2" l="1"/>
  <c r="C8" i="3" s="1"/>
  <c r="C27" i="3" s="1"/>
  <c r="D47" i="2"/>
  <c r="D46" i="2"/>
  <c r="D53" i="2"/>
  <c r="D57" i="2"/>
  <c r="D56" i="2"/>
  <c r="D55" i="2"/>
  <c r="D62" i="2"/>
  <c r="D66" i="2"/>
  <c r="D65" i="2"/>
  <c r="D64" i="2"/>
  <c r="D20" i="2"/>
  <c r="D21" i="2"/>
  <c r="D17" i="2"/>
  <c r="D19" i="2"/>
  <c r="D39" i="2"/>
  <c r="D37" i="2"/>
  <c r="C7" i="3" s="1"/>
  <c r="C26" i="3" s="1"/>
  <c r="D38" i="2"/>
  <c r="C9" i="3"/>
  <c r="C28" i="3" s="1"/>
  <c r="F24" i="1"/>
  <c r="F22" i="1"/>
  <c r="F20" i="1"/>
  <c r="F18" i="1"/>
  <c r="E24" i="1"/>
  <c r="E22" i="1"/>
  <c r="E20" i="1"/>
  <c r="E18" i="1"/>
  <c r="D20" i="1"/>
  <c r="D18" i="1"/>
  <c r="C20" i="1"/>
  <c r="C18" i="1"/>
  <c r="B24" i="1"/>
  <c r="B22" i="1"/>
  <c r="B20" i="1"/>
  <c r="B18" i="1"/>
  <c r="B28" i="1"/>
  <c r="C10" i="3" l="1"/>
  <c r="C29" i="3" s="1"/>
</calcChain>
</file>

<file path=xl/sharedStrings.xml><?xml version="1.0" encoding="utf-8"?>
<sst xmlns="http://schemas.openxmlformats.org/spreadsheetml/2006/main" count="187" uniqueCount="73">
  <si>
    <t>PARA OFERENTES NACIONALES O EXTRANJEROS CON SUCURSAL EN COLOMBIA</t>
  </si>
  <si>
    <t>Certificación de los estados financieros según articulo 37 Ley 222/95</t>
  </si>
  <si>
    <t>Notas a los estados financieros según Artículo 36 Ley 222/95.</t>
  </si>
  <si>
    <t xml:space="preserve">INDICADORES </t>
  </si>
  <si>
    <t>INDICADORES FINANCIEROS</t>
  </si>
  <si>
    <t>LIQUIDEZ  ≥ 1</t>
  </si>
  <si>
    <t>ACTIVO CORRIENTE / PASIVO CORRIENTE</t>
  </si>
  <si>
    <t xml:space="preserve">ENDEUDAMIENTO  ≤  70% </t>
  </si>
  <si>
    <t xml:space="preserve">PASIVO TOTAL / ACTIVO TOTAL </t>
  </si>
  <si>
    <t xml:space="preserve">**CAPITAL DE TRABAJO ≥  10% PRESUPUESTO </t>
  </si>
  <si>
    <t>ACTIVOS CORRIENTES- PASIVOS CORRIENTES</t>
  </si>
  <si>
    <t>**PATRIMONIO ≥  10% PRESUPUESTO</t>
  </si>
  <si>
    <t xml:space="preserve">ACTIVO TOTAL - PASIVO TOTAL </t>
  </si>
  <si>
    <t>**Presupuesto Oficial</t>
  </si>
  <si>
    <t>CUMPLE</t>
  </si>
  <si>
    <t>$</t>
  </si>
  <si>
    <t>INVITACION ABIERTA No. 02 de 2013</t>
  </si>
  <si>
    <t>RADIO TELEVISIÓN NACIONAL DE COLOMBIA -RTVC-, REQUIERE CONTRATAR LA PRESTACIÓN DE SERVICIOS TÉCNICOS Y LOGÍSTICOS PARA LA PREPRODUCCIÓN, PRODUCCIÓN, POSTPRODUCCIÓN Y EXHIBICIÓN DE LA ESTRATEGIA INTEGRAL DE PROMOCIÓN (INTERNA Y EXTERNA) DE RTVC Y SUS MARCAS EN CUMPLIMIENTO DE LOS OBJETIVOS Y GESTIÓN 2013 – 2014</t>
  </si>
  <si>
    <t>PRODUCCIONES TIEMPO DE CINE</t>
  </si>
  <si>
    <t>MIRANDA PRODUCCIONES S.A.S</t>
  </si>
  <si>
    <t>COLOMBIANA DE TELEVISION S.A</t>
  </si>
  <si>
    <t>ERNESTO ELIODORO CARRILLO</t>
  </si>
  <si>
    <t>Declaración de renta del año gravable 2012</t>
  </si>
  <si>
    <t>Fotocopia del Registro Único Tributario –RUT– en todos los casos</t>
  </si>
  <si>
    <t>FOLIO 20-21</t>
  </si>
  <si>
    <t>FOLIO 22</t>
  </si>
  <si>
    <t>FOLIO 23-27</t>
  </si>
  <si>
    <t>FOLIO 29-30</t>
  </si>
  <si>
    <t>FOLIO 31</t>
  </si>
  <si>
    <t>FOLIO 32</t>
  </si>
  <si>
    <t>INDICADORES</t>
  </si>
  <si>
    <t>FOLIO 26-28</t>
  </si>
  <si>
    <t>FOLIO 29</t>
  </si>
  <si>
    <t>FOLIO 30-34</t>
  </si>
  <si>
    <t>FOLIO 37</t>
  </si>
  <si>
    <t>FOLIO 38</t>
  </si>
  <si>
    <t>FOLIO 40-41</t>
  </si>
  <si>
    <t>FOLIO 42-52</t>
  </si>
  <si>
    <t>FOLIO 15-57</t>
  </si>
  <si>
    <t>FOLIO 59</t>
  </si>
  <si>
    <t>FOLIO 61</t>
  </si>
  <si>
    <t>*PRESENTA</t>
  </si>
  <si>
    <t>* PROPUESTA SIN NUMERACION</t>
  </si>
  <si>
    <t>VIRTUAL TELEVISION LTDA</t>
  </si>
  <si>
    <t>Cantidad</t>
  </si>
  <si>
    <t>Equipo o servicio de producción y postproducción requerido</t>
  </si>
  <si>
    <t>Unidad de tiempo</t>
  </si>
  <si>
    <t>Tarifa mes techo incluido IVA por cada estación</t>
  </si>
  <si>
    <t>Estación de video</t>
  </si>
  <si>
    <t>Estación logger</t>
  </si>
  <si>
    <t>Estación graficación</t>
  </si>
  <si>
    <t>Estación postproducción de audio</t>
  </si>
  <si>
    <t>Puestos de trabajo compatibles con el servidor de post-producción de RTVC</t>
  </si>
  <si>
    <t>Puestos de trabajo plataforma pc windows</t>
  </si>
  <si>
    <t>MES</t>
  </si>
  <si>
    <t xml:space="preserve">PROMEDIO </t>
  </si>
  <si>
    <t xml:space="preserve">Puntaje </t>
  </si>
  <si>
    <t xml:space="preserve">PUNTAJE </t>
  </si>
  <si>
    <t>PROPONENTES</t>
  </si>
  <si>
    <t>Estados financieros comparativos 2012-2011 especificando el activo corriente, activo fijo, pasivo corriente y pasivo a largo plazo (Balance General y Estado de Pérdidas y Ganancias) firmados por el proponente persona natural o por el Representante Legal de la persona jurídica y el contador o Revisor Fiscal de la empresa si está obligado a tener</t>
  </si>
  <si>
    <t>Certificados de vigencia y antecedentes disciplinarios del contador y/o revisor fiscal, expedidos por la Junta Central de Contadores, con fecha no mayor a noventa (90) días calendario, anteriores a la fecha del presente proceso de contratación.</t>
  </si>
  <si>
    <t>PRESUPUESTO TARIFA TECHO</t>
  </si>
  <si>
    <t>FOLIO 31-36</t>
  </si>
  <si>
    <t>INVITACIÓN ABIERTA No. 02 de 2013</t>
  </si>
  <si>
    <t>% Prestación de servicios</t>
  </si>
  <si>
    <t xml:space="preserve">PROVEEDOR </t>
  </si>
  <si>
    <t>HONORARIOS POR LA PRESTACIÓN DE SERVICIOS</t>
  </si>
  <si>
    <t>TOTAL PUNTAJE</t>
  </si>
  <si>
    <t>ADJUNTO DOCUMENTO</t>
  </si>
  <si>
    <t>PROPONENTE</t>
  </si>
  <si>
    <t>PROPUESTA ECONÓMICA EQUIPOS</t>
  </si>
  <si>
    <t>CONSOLIDADO FACTORES PONDERABLES.</t>
  </si>
  <si>
    <t>ASIGNACIÓN DE PUNTAJE  MEDIA POR MEDIA ARITMETICA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</si>
</sst>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_);[Red]\(&quot;$&quot;\ #,##0\)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i/>
      <sz val="12"/>
      <color theme="1"/>
      <name val="Trebuchet MS"/>
      <family val="2"/>
    </font>
    <font>
      <b/>
      <sz val="14"/>
      <color theme="1"/>
      <name val="Trebuchet MS"/>
      <family val="2"/>
    </font>
    <font>
      <sz val="8"/>
      <color theme="1"/>
      <name val="Trebuchet MS"/>
      <family val="2"/>
    </font>
    <font>
      <i/>
      <sz val="10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167" fontId="4" fillId="0" borderId="0" xfId="1" applyNumberFormat="1" applyFont="1"/>
    <xf numFmtId="167" fontId="5" fillId="0" borderId="18" xfId="1" applyNumberFormat="1" applyFont="1" applyBorder="1" applyAlignment="1">
      <alignment horizontal="center" vertical="center" wrapText="1"/>
    </xf>
    <xf numFmtId="167" fontId="4" fillId="0" borderId="0" xfId="1" applyNumberFormat="1" applyFont="1" applyAlignment="1">
      <alignment wrapText="1"/>
    </xf>
    <xf numFmtId="0" fontId="4" fillId="0" borderId="5" xfId="0" applyFont="1" applyBorder="1" applyAlignment="1">
      <alignment horizontal="center" wrapText="1"/>
    </xf>
    <xf numFmtId="167" fontId="4" fillId="0" borderId="5" xfId="1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167" fontId="4" fillId="0" borderId="19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6" xfId="0" applyFont="1" applyFill="1" applyBorder="1"/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0" fillId="2" borderId="0" xfId="0" applyFont="1" applyFill="1"/>
    <xf numFmtId="0" fontId="8" fillId="2" borderId="0" xfId="0" applyFont="1" applyFill="1"/>
    <xf numFmtId="0" fontId="3" fillId="2" borderId="1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wrapText="1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9" fontId="4" fillId="2" borderId="11" xfId="2" applyFont="1" applyFill="1" applyBorder="1" applyAlignment="1">
      <alignment horizontal="center" vertical="center"/>
    </xf>
    <xf numFmtId="9" fontId="4" fillId="2" borderId="2" xfId="2" applyFont="1" applyFill="1" applyBorder="1" applyAlignment="1">
      <alignment horizontal="center" vertical="center"/>
    </xf>
    <xf numFmtId="167" fontId="4" fillId="2" borderId="11" xfId="1" applyNumberFormat="1" applyFont="1" applyFill="1" applyBorder="1" applyAlignment="1">
      <alignment horizontal="center" vertical="center"/>
    </xf>
    <xf numFmtId="167" fontId="4" fillId="2" borderId="2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wrapText="1"/>
    </xf>
    <xf numFmtId="167" fontId="4" fillId="2" borderId="3" xfId="1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9" xfId="0" applyFont="1" applyFill="1" applyBorder="1"/>
    <xf numFmtId="164" fontId="5" fillId="2" borderId="1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9" fontId="4" fillId="2" borderId="12" xfId="0" applyNumberFormat="1" applyFont="1" applyFill="1" applyBorder="1"/>
    <xf numFmtId="164" fontId="5" fillId="2" borderId="13" xfId="0" applyNumberFormat="1" applyFont="1" applyFill="1" applyBorder="1" applyAlignment="1">
      <alignment horizontal="center"/>
    </xf>
    <xf numFmtId="167" fontId="4" fillId="2" borderId="0" xfId="1" applyNumberFormat="1" applyFont="1" applyFill="1"/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167" fontId="4" fillId="0" borderId="18" xfId="1" applyNumberFormat="1" applyFont="1" applyBorder="1" applyAlignment="1">
      <alignment horizontal="center" vertical="center" wrapText="1"/>
    </xf>
    <xf numFmtId="167" fontId="4" fillId="0" borderId="10" xfId="1" applyNumberFormat="1" applyFont="1" applyBorder="1" applyAlignment="1">
      <alignment horizontal="center" vertical="center" wrapText="1"/>
    </xf>
    <xf numFmtId="167" fontId="4" fillId="0" borderId="22" xfId="1" applyNumberFormat="1" applyFont="1" applyBorder="1" applyAlignment="1">
      <alignment horizontal="center" vertical="center" wrapText="1"/>
    </xf>
    <xf numFmtId="167" fontId="4" fillId="0" borderId="13" xfId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5" fillId="0" borderId="18" xfId="1" applyNumberFormat="1" applyFont="1" applyBorder="1" applyAlignment="1">
      <alignment horizontal="center" vertical="center" wrapText="1"/>
    </xf>
    <xf numFmtId="165" fontId="5" fillId="0" borderId="5" xfId="1" applyNumberFormat="1" applyFont="1" applyBorder="1" applyAlignment="1">
      <alignment horizontal="center" vertical="center" wrapText="1"/>
    </xf>
    <xf numFmtId="165" fontId="5" fillId="0" borderId="19" xfId="1" applyNumberFormat="1" applyFont="1" applyBorder="1" applyAlignment="1">
      <alignment horizontal="center" vertical="center" wrapText="1"/>
    </xf>
    <xf numFmtId="4" fontId="4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4" fillId="0" borderId="33" xfId="1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1" applyNumberFormat="1" applyFont="1" applyAlignment="1"/>
    <xf numFmtId="0" fontId="4" fillId="0" borderId="0" xfId="1" applyNumberFormat="1" applyFont="1" applyBorder="1" applyAlignment="1"/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167" fontId="5" fillId="0" borderId="26" xfId="0" applyNumberFormat="1" applyFont="1" applyBorder="1" applyAlignment="1">
      <alignment horizontal="center" wrapText="1"/>
    </xf>
    <xf numFmtId="167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7" fontId="5" fillId="0" borderId="34" xfId="0" applyNumberFormat="1" applyFont="1" applyBorder="1" applyAlignment="1"/>
    <xf numFmtId="167" fontId="5" fillId="0" borderId="2" xfId="0" applyNumberFormat="1" applyFont="1" applyBorder="1" applyAlignment="1"/>
    <xf numFmtId="167" fontId="5" fillId="0" borderId="3" xfId="0" applyNumberFormat="1" applyFont="1" applyBorder="1" applyAlignment="1"/>
    <xf numFmtId="167" fontId="5" fillId="0" borderId="34" xfId="1" applyNumberFormat="1" applyFont="1" applyBorder="1" applyAlignment="1">
      <alignment vertical="center" wrapText="1"/>
    </xf>
    <xf numFmtId="167" fontId="5" fillId="0" borderId="2" xfId="1" applyNumberFormat="1" applyFont="1" applyBorder="1" applyAlignment="1">
      <alignment vertical="center" wrapText="1"/>
    </xf>
    <xf numFmtId="167" fontId="5" fillId="0" borderId="3" xfId="1" applyNumberFormat="1" applyFont="1" applyBorder="1" applyAlignment="1">
      <alignment vertical="center" wrapText="1"/>
    </xf>
    <xf numFmtId="167" fontId="6" fillId="0" borderId="31" xfId="1" applyNumberFormat="1" applyFont="1" applyBorder="1" applyAlignment="1">
      <alignment horizontal="center" vertical="center" wrapText="1"/>
    </xf>
    <xf numFmtId="167" fontId="6" fillId="0" borderId="32" xfId="1" applyNumberFormat="1" applyFont="1" applyBorder="1" applyAlignment="1">
      <alignment horizontal="center" vertical="center" wrapText="1"/>
    </xf>
    <xf numFmtId="167" fontId="11" fillId="0" borderId="11" xfId="1" applyNumberFormat="1" applyFont="1" applyBorder="1" applyAlignment="1">
      <alignment horizontal="center" vertical="center" wrapText="1"/>
    </xf>
    <xf numFmtId="167" fontId="11" fillId="0" borderId="1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6" fillId="0" borderId="6" xfId="1" applyNumberFormat="1" applyFont="1" applyBorder="1" applyAlignment="1">
      <alignment horizontal="center" vertical="center" wrapText="1"/>
    </xf>
    <xf numFmtId="167" fontId="6" fillId="0" borderId="7" xfId="1" applyNumberFormat="1" applyFont="1" applyBorder="1" applyAlignment="1">
      <alignment horizontal="center" vertical="center" wrapText="1"/>
    </xf>
    <xf numFmtId="167" fontId="6" fillId="0" borderId="8" xfId="1" applyNumberFormat="1" applyFont="1" applyBorder="1" applyAlignment="1">
      <alignment horizontal="center" vertical="center" wrapText="1"/>
    </xf>
    <xf numFmtId="167" fontId="4" fillId="0" borderId="0" xfId="0" applyNumberFormat="1" applyFont="1"/>
    <xf numFmtId="9" fontId="4" fillId="0" borderId="5" xfId="2" applyFont="1" applyBorder="1" applyAlignment="1">
      <alignment horizontal="center"/>
    </xf>
    <xf numFmtId="167" fontId="6" fillId="0" borderId="11" xfId="1" applyNumberFormat="1" applyFont="1" applyBorder="1" applyAlignment="1">
      <alignment horizontal="center" vertical="center" wrapText="1"/>
    </xf>
    <xf numFmtId="167" fontId="5" fillId="0" borderId="22" xfId="1" applyNumberFormat="1" applyFont="1" applyBorder="1" applyAlignment="1">
      <alignment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9" fontId="4" fillId="0" borderId="19" xfId="2" applyFont="1" applyBorder="1" applyAlignment="1">
      <alignment horizontal="center"/>
    </xf>
    <xf numFmtId="167" fontId="5" fillId="0" borderId="13" xfId="1" applyNumberFormat="1" applyFont="1" applyBorder="1" applyAlignment="1">
      <alignment vertical="center" wrapText="1"/>
    </xf>
    <xf numFmtId="167" fontId="6" fillId="0" borderId="14" xfId="1" applyNumberFormat="1" applyFont="1" applyBorder="1" applyAlignment="1">
      <alignment horizontal="center" vertical="center" wrapText="1"/>
    </xf>
    <xf numFmtId="9" fontId="4" fillId="0" borderId="23" xfId="2" applyFont="1" applyBorder="1" applyAlignment="1">
      <alignment horizontal="center"/>
    </xf>
    <xf numFmtId="167" fontId="5" fillId="0" borderId="24" xfId="1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167" fontId="5" fillId="0" borderId="26" xfId="1" applyNumberFormat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wrapText="1"/>
    </xf>
    <xf numFmtId="0" fontId="5" fillId="3" borderId="2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wrapText="1"/>
    </xf>
    <xf numFmtId="0" fontId="5" fillId="4" borderId="2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wrapText="1"/>
    </xf>
    <xf numFmtId="0" fontId="5" fillId="6" borderId="2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wrapText="1"/>
    </xf>
    <xf numFmtId="0" fontId="5" fillId="7" borderId="25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wrapText="1"/>
    </xf>
    <xf numFmtId="0" fontId="5" fillId="8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7" workbookViewId="0">
      <selection activeCell="B13" sqref="B13"/>
    </sheetView>
  </sheetViews>
  <sheetFormatPr baseColWidth="10" defaultRowHeight="15" x14ac:dyDescent="0.3"/>
  <cols>
    <col min="1" max="1" width="58.5703125" style="15" customWidth="1"/>
    <col min="2" max="2" width="19.42578125" style="16" customWidth="1"/>
    <col min="3" max="3" width="21.5703125" style="16" customWidth="1"/>
    <col min="4" max="6" width="18.28515625" style="16" bestFit="1" customWidth="1"/>
    <col min="7" max="16384" width="11.42578125" style="15"/>
  </cols>
  <sheetData>
    <row r="1" spans="1:6" ht="18" x14ac:dyDescent="0.35">
      <c r="A1" s="136" t="s">
        <v>16</v>
      </c>
      <c r="B1" s="136"/>
      <c r="C1" s="136"/>
      <c r="D1" s="136"/>
      <c r="E1" s="136"/>
      <c r="F1" s="136"/>
    </row>
    <row r="2" spans="1:6" ht="69" customHeight="1" x14ac:dyDescent="0.3">
      <c r="A2" s="137" t="s">
        <v>17</v>
      </c>
      <c r="B2" s="137"/>
      <c r="C2" s="137"/>
      <c r="D2" s="137"/>
      <c r="E2" s="137"/>
      <c r="F2" s="137"/>
    </row>
    <row r="3" spans="1:6" ht="15.75" thickBot="1" x14ac:dyDescent="0.35"/>
    <row r="4" spans="1:6" ht="15.75" thickBot="1" x14ac:dyDescent="0.35">
      <c r="B4" s="17">
        <v>1</v>
      </c>
      <c r="C4" s="17">
        <v>2</v>
      </c>
      <c r="D4" s="17">
        <v>3</v>
      </c>
      <c r="E4" s="17">
        <v>4</v>
      </c>
      <c r="F4" s="18">
        <v>5</v>
      </c>
    </row>
    <row r="5" spans="1:6" ht="45.75" thickBot="1" x14ac:dyDescent="0.35">
      <c r="A5" s="19" t="s">
        <v>0</v>
      </c>
      <c r="B5" s="20" t="s">
        <v>18</v>
      </c>
      <c r="C5" s="20" t="s">
        <v>19</v>
      </c>
      <c r="D5" s="20" t="s">
        <v>20</v>
      </c>
      <c r="E5" s="20" t="s">
        <v>21</v>
      </c>
      <c r="F5" s="21" t="s">
        <v>43</v>
      </c>
    </row>
    <row r="6" spans="1:6" ht="90" x14ac:dyDescent="0.3">
      <c r="A6" s="22" t="s">
        <v>59</v>
      </c>
      <c r="B6" s="23" t="s">
        <v>24</v>
      </c>
      <c r="C6" s="23" t="s">
        <v>31</v>
      </c>
      <c r="D6" s="23" t="s">
        <v>36</v>
      </c>
      <c r="E6" s="24" t="s">
        <v>27</v>
      </c>
      <c r="F6" s="25" t="s">
        <v>41</v>
      </c>
    </row>
    <row r="7" spans="1:6" x14ac:dyDescent="0.3">
      <c r="A7" s="26" t="s">
        <v>1</v>
      </c>
      <c r="B7" s="27" t="s">
        <v>25</v>
      </c>
      <c r="C7" s="27" t="s">
        <v>32</v>
      </c>
      <c r="D7" s="27" t="s">
        <v>35</v>
      </c>
      <c r="E7" s="27" t="s">
        <v>28</v>
      </c>
      <c r="F7" s="28" t="s">
        <v>41</v>
      </c>
    </row>
    <row r="8" spans="1:6" x14ac:dyDescent="0.3">
      <c r="A8" s="26" t="s">
        <v>2</v>
      </c>
      <c r="B8" s="27" t="s">
        <v>26</v>
      </c>
      <c r="C8" s="27" t="s">
        <v>33</v>
      </c>
      <c r="D8" s="27" t="s">
        <v>37</v>
      </c>
      <c r="E8" s="27" t="s">
        <v>62</v>
      </c>
      <c r="F8" s="28" t="s">
        <v>41</v>
      </c>
    </row>
    <row r="9" spans="1:6" ht="60" x14ac:dyDescent="0.3">
      <c r="A9" s="29" t="s">
        <v>60</v>
      </c>
      <c r="B9" s="27" t="s">
        <v>27</v>
      </c>
      <c r="C9" s="27" t="s">
        <v>68</v>
      </c>
      <c r="D9" s="27" t="s">
        <v>38</v>
      </c>
      <c r="E9" s="27" t="s">
        <v>41</v>
      </c>
      <c r="F9" s="28" t="s">
        <v>41</v>
      </c>
    </row>
    <row r="10" spans="1:6" x14ac:dyDescent="0.3">
      <c r="A10" s="29" t="s">
        <v>22</v>
      </c>
      <c r="B10" s="27" t="s">
        <v>28</v>
      </c>
      <c r="C10" s="27" t="s">
        <v>34</v>
      </c>
      <c r="D10" s="27" t="s">
        <v>39</v>
      </c>
      <c r="E10" s="27" t="s">
        <v>41</v>
      </c>
      <c r="F10" s="28" t="s">
        <v>41</v>
      </c>
    </row>
    <row r="11" spans="1:6" ht="15.75" thickBot="1" x14ac:dyDescent="0.35">
      <c r="A11" s="30" t="s">
        <v>23</v>
      </c>
      <c r="B11" s="31" t="s">
        <v>29</v>
      </c>
      <c r="C11" s="31" t="s">
        <v>35</v>
      </c>
      <c r="D11" s="31" t="s">
        <v>40</v>
      </c>
      <c r="E11" s="31" t="s">
        <v>41</v>
      </c>
      <c r="F11" s="32" t="s">
        <v>41</v>
      </c>
    </row>
    <row r="12" spans="1:6" ht="18.75" thickBot="1" x14ac:dyDescent="0.35">
      <c r="A12" s="33"/>
      <c r="B12" s="34" t="s">
        <v>14</v>
      </c>
      <c r="C12" s="34" t="s">
        <v>14</v>
      </c>
      <c r="D12" s="34" t="s">
        <v>14</v>
      </c>
      <c r="E12" s="34" t="s">
        <v>14</v>
      </c>
      <c r="F12" s="35" t="s">
        <v>14</v>
      </c>
    </row>
    <row r="13" spans="1:6" x14ac:dyDescent="0.3">
      <c r="A13" s="36" t="s">
        <v>42</v>
      </c>
    </row>
    <row r="15" spans="1:6" ht="18.75" thickBot="1" x14ac:dyDescent="0.4">
      <c r="A15" s="37" t="s">
        <v>3</v>
      </c>
    </row>
    <row r="16" spans="1:6" ht="15" customHeight="1" thickBot="1" x14ac:dyDescent="0.35">
      <c r="A16" s="38" t="s">
        <v>4</v>
      </c>
      <c r="B16" s="39" t="s">
        <v>30</v>
      </c>
      <c r="C16" s="39" t="s">
        <v>30</v>
      </c>
      <c r="D16" s="39" t="s">
        <v>30</v>
      </c>
      <c r="E16" s="39" t="s">
        <v>30</v>
      </c>
      <c r="F16" s="40" t="s">
        <v>30</v>
      </c>
    </row>
    <row r="17" spans="1:6" x14ac:dyDescent="0.3">
      <c r="A17" s="41" t="s">
        <v>5</v>
      </c>
      <c r="B17" s="42" t="s">
        <v>15</v>
      </c>
      <c r="C17" s="42" t="s">
        <v>15</v>
      </c>
      <c r="D17" s="43" t="s">
        <v>15</v>
      </c>
      <c r="E17" s="43" t="s">
        <v>15</v>
      </c>
      <c r="F17" s="43" t="s">
        <v>15</v>
      </c>
    </row>
    <row r="18" spans="1:6" x14ac:dyDescent="0.3">
      <c r="A18" s="44" t="s">
        <v>6</v>
      </c>
      <c r="B18" s="45">
        <f>605697940/451077259</f>
        <v>1.3427809270251863</v>
      </c>
      <c r="C18" s="46">
        <f>349253/231003</f>
        <v>1.5118981138773089</v>
      </c>
      <c r="D18" s="46">
        <f>4907791/2104995</f>
        <v>2.3314976995194763</v>
      </c>
      <c r="E18" s="46">
        <f>315379000/58108000</f>
        <v>5.4274626557444758</v>
      </c>
      <c r="F18" s="46">
        <f>736142365/267755631</f>
        <v>2.7493067550090102</v>
      </c>
    </row>
    <row r="19" spans="1:6" x14ac:dyDescent="0.3">
      <c r="A19" s="47" t="s">
        <v>7</v>
      </c>
      <c r="B19" s="48"/>
      <c r="C19" s="49"/>
      <c r="D19" s="49"/>
      <c r="E19" s="49"/>
      <c r="F19" s="49"/>
    </row>
    <row r="20" spans="1:6" x14ac:dyDescent="0.3">
      <c r="A20" s="44" t="s">
        <v>8</v>
      </c>
      <c r="B20" s="50">
        <f>584101329/1279985326</f>
        <v>0.45633439472727205</v>
      </c>
      <c r="C20" s="51">
        <f>231003/449095</f>
        <v>0.51437446420022492</v>
      </c>
      <c r="D20" s="51">
        <f>3421330/24185868</f>
        <v>0.14145988062119583</v>
      </c>
      <c r="E20" s="51">
        <f>168248000/542159000</f>
        <v>0.3103296265486693</v>
      </c>
      <c r="F20" s="51">
        <f>354938254/929237181</f>
        <v>0.38196733972486191</v>
      </c>
    </row>
    <row r="21" spans="1:6" x14ac:dyDescent="0.3">
      <c r="A21" s="47" t="s">
        <v>9</v>
      </c>
      <c r="B21" s="48"/>
      <c r="C21" s="49"/>
      <c r="D21" s="49"/>
      <c r="E21" s="49"/>
      <c r="F21" s="49"/>
    </row>
    <row r="22" spans="1:6" x14ac:dyDescent="0.3">
      <c r="A22" s="44" t="s">
        <v>10</v>
      </c>
      <c r="B22" s="52">
        <f>605697940-451077259</f>
        <v>154620681</v>
      </c>
      <c r="C22" s="53">
        <f>349253000-231003000</f>
        <v>118250000</v>
      </c>
      <c r="D22" s="53">
        <f>4907791000-2104995000</f>
        <v>2802796000</v>
      </c>
      <c r="E22" s="53">
        <f>315379000-58108000</f>
        <v>257271000</v>
      </c>
      <c r="F22" s="53">
        <f>736142365-267755631</f>
        <v>468386734</v>
      </c>
    </row>
    <row r="23" spans="1:6" x14ac:dyDescent="0.3">
      <c r="A23" s="47" t="s">
        <v>11</v>
      </c>
      <c r="B23" s="48"/>
      <c r="C23" s="49"/>
      <c r="D23" s="49"/>
      <c r="E23" s="49"/>
      <c r="F23" s="49"/>
    </row>
    <row r="24" spans="1:6" ht="15.75" thickBot="1" x14ac:dyDescent="0.35">
      <c r="A24" s="54" t="s">
        <v>12</v>
      </c>
      <c r="B24" s="52">
        <f>1279985326-584101329</f>
        <v>695883997</v>
      </c>
      <c r="C24" s="55">
        <f>449095000-231003000</f>
        <v>218092000</v>
      </c>
      <c r="D24" s="55">
        <f>24185868000-3421330000</f>
        <v>20764538000</v>
      </c>
      <c r="E24" s="55">
        <f>542159000-168248000</f>
        <v>373911000</v>
      </c>
      <c r="F24" s="55">
        <f>929237181-354938254</f>
        <v>574298927</v>
      </c>
    </row>
    <row r="25" spans="1:6" ht="18.75" thickBot="1" x14ac:dyDescent="0.35">
      <c r="A25" s="56"/>
      <c r="B25" s="57" t="s">
        <v>14</v>
      </c>
      <c r="C25" s="57" t="s">
        <v>14</v>
      </c>
      <c r="D25" s="57" t="s">
        <v>14</v>
      </c>
      <c r="E25" s="57" t="s">
        <v>14</v>
      </c>
      <c r="F25" s="58" t="s">
        <v>14</v>
      </c>
    </row>
    <row r="26" spans="1:6" ht="15.75" thickBot="1" x14ac:dyDescent="0.35"/>
    <row r="27" spans="1:6" x14ac:dyDescent="0.3">
      <c r="A27" s="59" t="s">
        <v>13</v>
      </c>
      <c r="B27" s="60">
        <v>608442817</v>
      </c>
      <c r="C27" s="61"/>
      <c r="D27" s="61"/>
      <c r="E27" s="61"/>
      <c r="F27" s="61"/>
    </row>
    <row r="28" spans="1:6" ht="15.75" thickBot="1" x14ac:dyDescent="0.35">
      <c r="A28" s="62">
        <v>0.1</v>
      </c>
      <c r="B28" s="63">
        <f>+B27*10%</f>
        <v>60844281.700000003</v>
      </c>
      <c r="C28" s="64"/>
      <c r="D28" s="64"/>
      <c r="E28" s="64"/>
      <c r="F28" s="64"/>
    </row>
  </sheetData>
  <mergeCells count="2">
    <mergeCell ref="A1:F1"/>
    <mergeCell ref="A2:F2"/>
  </mergeCells>
  <printOptions horizontalCentered="1" verticalCentered="1"/>
  <pageMargins left="0.9" right="0.7" top="0.42" bottom="0.32" header="0.2" footer="0.2"/>
  <pageSetup paperSize="522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="85" zoomScaleNormal="85" workbookViewId="0">
      <selection activeCell="G18" sqref="G18"/>
    </sheetView>
  </sheetViews>
  <sheetFormatPr baseColWidth="10" defaultRowHeight="15" x14ac:dyDescent="0.3"/>
  <cols>
    <col min="1" max="1" width="8.85546875" style="1" bestFit="1" customWidth="1"/>
    <col min="2" max="2" width="39.7109375" style="2" customWidth="1"/>
    <col min="3" max="3" width="26" style="3" customWidth="1"/>
    <col min="4" max="4" width="19" style="2" customWidth="1"/>
    <col min="5" max="5" width="18.140625" style="7" customWidth="1"/>
    <col min="6" max="6" width="17.42578125" style="7" customWidth="1"/>
    <col min="7" max="7" width="16.42578125" style="5" bestFit="1" customWidth="1"/>
    <col min="8" max="9" width="18.7109375" style="5" customWidth="1"/>
    <col min="10" max="10" width="12.5703125" style="79" hidden="1" customWidth="1"/>
    <col min="11" max="16384" width="11.42578125" style="1"/>
  </cols>
  <sheetData>
    <row r="1" spans="1:10" ht="18.75" x14ac:dyDescent="0.3">
      <c r="A1" s="139" t="s">
        <v>63</v>
      </c>
      <c r="B1" s="139"/>
      <c r="C1" s="139"/>
      <c r="D1" s="139"/>
      <c r="E1" s="139"/>
      <c r="F1" s="139"/>
      <c r="G1" s="139"/>
      <c r="H1" s="139"/>
      <c r="I1" s="139"/>
    </row>
    <row r="2" spans="1:10" ht="47.25" customHeight="1" x14ac:dyDescent="0.3">
      <c r="A2" s="138" t="s">
        <v>17</v>
      </c>
      <c r="B2" s="138"/>
      <c r="C2" s="138"/>
      <c r="D2" s="138"/>
      <c r="E2" s="138"/>
      <c r="F2" s="138"/>
      <c r="G2" s="138"/>
      <c r="H2" s="138"/>
      <c r="I2" s="138"/>
    </row>
    <row r="3" spans="1:10" ht="15.75" thickBot="1" x14ac:dyDescent="0.35"/>
    <row r="4" spans="1:10" s="4" customFormat="1" ht="45.75" thickBot="1" x14ac:dyDescent="0.3">
      <c r="A4" s="66" t="s">
        <v>44</v>
      </c>
      <c r="B4" s="67" t="s">
        <v>45</v>
      </c>
      <c r="C4" s="67" t="s">
        <v>46</v>
      </c>
      <c r="D4" s="67" t="s">
        <v>47</v>
      </c>
      <c r="E4" s="101" t="s">
        <v>18</v>
      </c>
      <c r="F4" s="101" t="s">
        <v>19</v>
      </c>
      <c r="G4" s="101" t="s">
        <v>20</v>
      </c>
      <c r="H4" s="101" t="s">
        <v>21</v>
      </c>
      <c r="I4" s="102" t="s">
        <v>43</v>
      </c>
      <c r="J4" s="80"/>
    </row>
    <row r="5" spans="1:10" x14ac:dyDescent="0.3">
      <c r="A5" s="73">
        <v>1</v>
      </c>
      <c r="B5" s="121" t="s">
        <v>48</v>
      </c>
      <c r="C5" s="68" t="s">
        <v>54</v>
      </c>
      <c r="D5" s="76">
        <v>7437630</v>
      </c>
      <c r="E5" s="69">
        <v>6321985</v>
      </c>
      <c r="F5" s="69">
        <v>6500489</v>
      </c>
      <c r="G5" s="69">
        <v>6916996</v>
      </c>
      <c r="H5" s="69">
        <v>6321986</v>
      </c>
      <c r="I5" s="70">
        <v>6321986</v>
      </c>
      <c r="J5" s="82">
        <f>+D5*85%</f>
        <v>6321985.5</v>
      </c>
    </row>
    <row r="6" spans="1:10" x14ac:dyDescent="0.3">
      <c r="A6" s="74">
        <v>2</v>
      </c>
      <c r="B6" s="123" t="s">
        <v>49</v>
      </c>
      <c r="C6" s="8" t="s">
        <v>54</v>
      </c>
      <c r="D6" s="77">
        <v>1390500</v>
      </c>
      <c r="E6" s="9">
        <v>1181925</v>
      </c>
      <c r="F6" s="9">
        <v>1215297</v>
      </c>
      <c r="G6" s="9">
        <v>1293165</v>
      </c>
      <c r="H6" s="9">
        <v>1181925</v>
      </c>
      <c r="I6" s="71">
        <v>1181925</v>
      </c>
      <c r="J6" s="82">
        <f t="shared" ref="J6:J10" si="0">+D6*85%</f>
        <v>1181925</v>
      </c>
    </row>
    <row r="7" spans="1:10" x14ac:dyDescent="0.3">
      <c r="A7" s="74">
        <v>3</v>
      </c>
      <c r="B7" s="125" t="s">
        <v>50</v>
      </c>
      <c r="C7" s="8" t="s">
        <v>54</v>
      </c>
      <c r="D7" s="77">
        <v>4249780</v>
      </c>
      <c r="E7" s="9">
        <v>3612313</v>
      </c>
      <c r="F7" s="9">
        <v>3714308</v>
      </c>
      <c r="G7" s="9">
        <v>3952295</v>
      </c>
      <c r="H7" s="9">
        <v>3612313</v>
      </c>
      <c r="I7" s="71">
        <v>3612313</v>
      </c>
      <c r="J7" s="82">
        <f t="shared" si="0"/>
        <v>3612313</v>
      </c>
    </row>
    <row r="8" spans="1:10" x14ac:dyDescent="0.3">
      <c r="A8" s="74">
        <v>1</v>
      </c>
      <c r="B8" s="127" t="s">
        <v>51</v>
      </c>
      <c r="C8" s="8" t="s">
        <v>54</v>
      </c>
      <c r="D8" s="77">
        <v>5312740</v>
      </c>
      <c r="E8" s="9">
        <v>4515829</v>
      </c>
      <c r="F8" s="9">
        <v>4643335</v>
      </c>
      <c r="G8" s="9">
        <v>4940848</v>
      </c>
      <c r="H8" s="9">
        <v>4515829</v>
      </c>
      <c r="I8" s="71">
        <v>4515829</v>
      </c>
      <c r="J8" s="82">
        <f t="shared" si="0"/>
        <v>4515829</v>
      </c>
    </row>
    <row r="9" spans="1:10" ht="30" x14ac:dyDescent="0.3">
      <c r="A9" s="74">
        <v>3</v>
      </c>
      <c r="B9" s="129" t="s">
        <v>52</v>
      </c>
      <c r="C9" s="8" t="s">
        <v>54</v>
      </c>
      <c r="D9" s="77">
        <v>412000</v>
      </c>
      <c r="E9" s="9">
        <v>350200</v>
      </c>
      <c r="F9" s="9">
        <v>360088</v>
      </c>
      <c r="G9" s="9">
        <v>383160</v>
      </c>
      <c r="H9" s="9">
        <v>350200</v>
      </c>
      <c r="I9" s="71">
        <v>350200</v>
      </c>
      <c r="J9" s="82">
        <f t="shared" si="0"/>
        <v>350200</v>
      </c>
    </row>
    <row r="10" spans="1:10" ht="15.75" thickBot="1" x14ac:dyDescent="0.35">
      <c r="A10" s="75">
        <v>3</v>
      </c>
      <c r="B10" s="131" t="s">
        <v>53</v>
      </c>
      <c r="C10" s="10" t="s">
        <v>54</v>
      </c>
      <c r="D10" s="78">
        <v>154500</v>
      </c>
      <c r="E10" s="11">
        <v>131325</v>
      </c>
      <c r="F10" s="11">
        <v>135033</v>
      </c>
      <c r="G10" s="11">
        <v>143685</v>
      </c>
      <c r="H10" s="11">
        <v>131325</v>
      </c>
      <c r="I10" s="72">
        <v>131325</v>
      </c>
      <c r="J10" s="82">
        <f t="shared" si="0"/>
        <v>131325</v>
      </c>
    </row>
    <row r="13" spans="1:10" x14ac:dyDescent="0.3">
      <c r="B13" s="140" t="s">
        <v>72</v>
      </c>
      <c r="C13" s="140"/>
      <c r="D13" s="140"/>
    </row>
    <row r="14" spans="1:10" ht="15.75" thickBot="1" x14ac:dyDescent="0.35"/>
    <row r="15" spans="1:10" s="12" customFormat="1" ht="15.75" thickBot="1" x14ac:dyDescent="0.35">
      <c r="B15" s="83" t="s">
        <v>69</v>
      </c>
      <c r="C15" s="122" t="s">
        <v>48</v>
      </c>
      <c r="D15" s="84" t="s">
        <v>56</v>
      </c>
      <c r="E15" s="86"/>
      <c r="F15" s="85"/>
      <c r="G15" s="85"/>
      <c r="H15" s="85"/>
      <c r="I15" s="85"/>
      <c r="J15" s="85"/>
    </row>
    <row r="16" spans="1:10" s="12" customFormat="1" x14ac:dyDescent="0.25">
      <c r="B16" s="87" t="s">
        <v>61</v>
      </c>
      <c r="C16" s="6">
        <f>+D5</f>
        <v>7437630</v>
      </c>
      <c r="D16" s="88"/>
      <c r="J16" s="81"/>
    </row>
    <row r="17" spans="2:9" x14ac:dyDescent="0.3">
      <c r="B17" s="103" t="s">
        <v>18</v>
      </c>
      <c r="C17" s="9">
        <v>6321985</v>
      </c>
      <c r="D17" s="71">
        <f>200*($C$17/$C$22)</f>
        <v>190.51174714733949</v>
      </c>
      <c r="E17" s="109"/>
      <c r="F17" s="1"/>
      <c r="G17" s="1"/>
      <c r="H17" s="1"/>
      <c r="I17" s="1"/>
    </row>
    <row r="18" spans="2:9" x14ac:dyDescent="0.3">
      <c r="B18" s="103" t="s">
        <v>19</v>
      </c>
      <c r="C18" s="9">
        <v>6500489</v>
      </c>
      <c r="D18" s="71">
        <v>200</v>
      </c>
      <c r="E18" s="109"/>
      <c r="F18" s="1"/>
      <c r="G18" s="1"/>
      <c r="H18" s="1"/>
      <c r="I18" s="1"/>
    </row>
    <row r="19" spans="2:9" x14ac:dyDescent="0.3">
      <c r="B19" s="103" t="s">
        <v>20</v>
      </c>
      <c r="C19" s="9">
        <v>6916996</v>
      </c>
      <c r="D19" s="71">
        <f>+(C22/C19)*200</f>
        <v>191.89964352540707</v>
      </c>
      <c r="E19" s="109"/>
      <c r="F19" s="1"/>
      <c r="G19" s="1"/>
      <c r="H19" s="1"/>
      <c r="I19" s="1"/>
    </row>
    <row r="20" spans="2:9" x14ac:dyDescent="0.3">
      <c r="B20" s="103" t="s">
        <v>21</v>
      </c>
      <c r="C20" s="9">
        <v>6321986</v>
      </c>
      <c r="D20" s="71">
        <f>200*($C$20/$C$22)</f>
        <v>190.51177728213847</v>
      </c>
      <c r="E20" s="109"/>
      <c r="F20" s="1"/>
      <c r="G20" s="1"/>
      <c r="H20" s="1"/>
      <c r="I20" s="1"/>
    </row>
    <row r="21" spans="2:9" ht="15.75" thickBot="1" x14ac:dyDescent="0.35">
      <c r="B21" s="104" t="s">
        <v>43</v>
      </c>
      <c r="C21" s="11">
        <v>6321986</v>
      </c>
      <c r="D21" s="72">
        <f>200*($C$21/$C$22)</f>
        <v>190.51177728213847</v>
      </c>
      <c r="E21" s="109"/>
      <c r="F21" s="1"/>
      <c r="G21" s="1"/>
      <c r="H21" s="1"/>
      <c r="I21" s="1"/>
    </row>
    <row r="22" spans="2:9" ht="15.75" thickBot="1" x14ac:dyDescent="0.35">
      <c r="B22" s="89" t="s">
        <v>55</v>
      </c>
      <c r="C22" s="90">
        <f>AVERAGE(C16:C21)</f>
        <v>6636845.333333333</v>
      </c>
      <c r="E22" s="1"/>
      <c r="F22" s="1"/>
      <c r="G22" s="1"/>
      <c r="H22" s="1"/>
      <c r="I22" s="1"/>
    </row>
    <row r="23" spans="2:9" ht="15.75" thickBot="1" x14ac:dyDescent="0.35"/>
    <row r="24" spans="2:9" ht="15.75" thickBot="1" x14ac:dyDescent="0.35">
      <c r="B24" s="83" t="s">
        <v>69</v>
      </c>
      <c r="C24" s="124" t="s">
        <v>49</v>
      </c>
      <c r="D24" s="84" t="s">
        <v>56</v>
      </c>
    </row>
    <row r="25" spans="2:9" x14ac:dyDescent="0.3">
      <c r="B25" s="87" t="s">
        <v>61</v>
      </c>
      <c r="C25" s="91">
        <f>+D6</f>
        <v>1390500</v>
      </c>
      <c r="D25" s="88"/>
    </row>
    <row r="26" spans="2:9" x14ac:dyDescent="0.3">
      <c r="B26" s="103" t="s">
        <v>18</v>
      </c>
      <c r="C26" s="9">
        <v>1181925</v>
      </c>
      <c r="D26" s="71">
        <f>+(100*($C$26/$C$31))</f>
        <v>95.255883451624953</v>
      </c>
    </row>
    <row r="27" spans="2:9" x14ac:dyDescent="0.3">
      <c r="B27" s="103" t="s">
        <v>19</v>
      </c>
      <c r="C27" s="9">
        <v>1215297</v>
      </c>
      <c r="D27" s="71">
        <v>100</v>
      </c>
    </row>
    <row r="28" spans="2:9" x14ac:dyDescent="0.3">
      <c r="B28" s="103" t="s">
        <v>20</v>
      </c>
      <c r="C28" s="9">
        <v>1293165</v>
      </c>
      <c r="D28" s="71">
        <f>+(C31/C28)*100</f>
        <v>95.949820788530474</v>
      </c>
    </row>
    <row r="29" spans="2:9" x14ac:dyDescent="0.3">
      <c r="B29" s="103" t="s">
        <v>21</v>
      </c>
      <c r="C29" s="9">
        <v>1181925</v>
      </c>
      <c r="D29" s="71">
        <f>+(100*($C$29/$C$31))</f>
        <v>95.255883451624953</v>
      </c>
    </row>
    <row r="30" spans="2:9" ht="15.75" thickBot="1" x14ac:dyDescent="0.35">
      <c r="B30" s="104" t="s">
        <v>43</v>
      </c>
      <c r="C30" s="11">
        <v>1181925</v>
      </c>
      <c r="D30" s="72">
        <f>+(100*($C$30/$C$31))</f>
        <v>95.255883451624953</v>
      </c>
    </row>
    <row r="31" spans="2:9" ht="15.75" thickBot="1" x14ac:dyDescent="0.35">
      <c r="B31" s="89" t="s">
        <v>55</v>
      </c>
      <c r="C31" s="90">
        <f>AVERAGE(C25:C30)</f>
        <v>1240789.5</v>
      </c>
      <c r="D31" s="7"/>
    </row>
    <row r="32" spans="2:9" ht="15.75" thickBot="1" x14ac:dyDescent="0.35"/>
    <row r="33" spans="2:4" ht="15.75" thickBot="1" x14ac:dyDescent="0.35">
      <c r="B33" s="83" t="s">
        <v>69</v>
      </c>
      <c r="C33" s="126" t="s">
        <v>50</v>
      </c>
      <c r="D33" s="84" t="s">
        <v>56</v>
      </c>
    </row>
    <row r="34" spans="2:4" x14ac:dyDescent="0.3">
      <c r="B34" s="87" t="s">
        <v>61</v>
      </c>
      <c r="C34" s="91">
        <f>+D7</f>
        <v>4249780</v>
      </c>
      <c r="D34" s="88"/>
    </row>
    <row r="35" spans="2:4" x14ac:dyDescent="0.3">
      <c r="B35" s="103" t="s">
        <v>18</v>
      </c>
      <c r="C35" s="9">
        <v>3612313</v>
      </c>
      <c r="D35" s="71">
        <f>+(200*($C$38/$C$40))</f>
        <v>190.51176790800042</v>
      </c>
    </row>
    <row r="36" spans="2:4" x14ac:dyDescent="0.3">
      <c r="B36" s="103" t="s">
        <v>19</v>
      </c>
      <c r="C36" s="9">
        <v>3714308</v>
      </c>
      <c r="D36" s="71">
        <v>200</v>
      </c>
    </row>
    <row r="37" spans="2:4" x14ac:dyDescent="0.3">
      <c r="B37" s="103" t="s">
        <v>20</v>
      </c>
      <c r="C37" s="9">
        <v>3952295</v>
      </c>
      <c r="D37" s="71">
        <f>+(C40/C37)*200</f>
        <v>191.89965998658164</v>
      </c>
    </row>
    <row r="38" spans="2:4" x14ac:dyDescent="0.3">
      <c r="B38" s="103" t="s">
        <v>21</v>
      </c>
      <c r="C38" s="9">
        <v>3612313</v>
      </c>
      <c r="D38" s="71">
        <f>+(200*($C$38/$C$40))</f>
        <v>190.51176790800042</v>
      </c>
    </row>
    <row r="39" spans="2:4" ht="15.75" thickBot="1" x14ac:dyDescent="0.35">
      <c r="B39" s="104" t="s">
        <v>43</v>
      </c>
      <c r="C39" s="11">
        <v>3612313</v>
      </c>
      <c r="D39" s="72">
        <f>+(200*($C$38/$C$40))</f>
        <v>190.51176790800042</v>
      </c>
    </row>
    <row r="40" spans="2:4" ht="15.75" thickBot="1" x14ac:dyDescent="0.35">
      <c r="B40" s="89" t="s">
        <v>55</v>
      </c>
      <c r="C40" s="90">
        <f>AVERAGE(C34:C39)</f>
        <v>3792220.3333333335</v>
      </c>
      <c r="D40" s="7"/>
    </row>
    <row r="41" spans="2:4" ht="15.75" thickBot="1" x14ac:dyDescent="0.35"/>
    <row r="42" spans="2:4" ht="30.75" thickBot="1" x14ac:dyDescent="0.35">
      <c r="B42" s="83" t="s">
        <v>69</v>
      </c>
      <c r="C42" s="128" t="s">
        <v>51</v>
      </c>
      <c r="D42" s="84" t="s">
        <v>56</v>
      </c>
    </row>
    <row r="43" spans="2:4" x14ac:dyDescent="0.3">
      <c r="B43" s="87" t="s">
        <v>61</v>
      </c>
      <c r="C43" s="91">
        <f>+D8</f>
        <v>5312740</v>
      </c>
      <c r="D43" s="88"/>
    </row>
    <row r="44" spans="2:4" x14ac:dyDescent="0.3">
      <c r="B44" s="103" t="s">
        <v>18</v>
      </c>
      <c r="C44" s="9">
        <v>4515829</v>
      </c>
      <c r="D44" s="71">
        <f>+$C$44/$C$49*200</f>
        <v>190.51176663534241</v>
      </c>
    </row>
    <row r="45" spans="2:4" x14ac:dyDescent="0.3">
      <c r="B45" s="103" t="s">
        <v>19</v>
      </c>
      <c r="C45" s="9">
        <v>4643335</v>
      </c>
      <c r="D45" s="71">
        <v>200</v>
      </c>
    </row>
    <row r="46" spans="2:4" x14ac:dyDescent="0.3">
      <c r="B46" s="103" t="s">
        <v>20</v>
      </c>
      <c r="C46" s="9">
        <v>4940848</v>
      </c>
      <c r="D46" s="71">
        <f>+C49/C46*200</f>
        <v>191.89964961480297</v>
      </c>
    </row>
    <row r="47" spans="2:4" x14ac:dyDescent="0.3">
      <c r="B47" s="103" t="s">
        <v>21</v>
      </c>
      <c r="C47" s="9">
        <v>4515829</v>
      </c>
      <c r="D47" s="71">
        <f>+$C$47/$C$49*200</f>
        <v>190.51176663534241</v>
      </c>
    </row>
    <row r="48" spans="2:4" ht="15.75" thickBot="1" x14ac:dyDescent="0.35">
      <c r="B48" s="104" t="s">
        <v>43</v>
      </c>
      <c r="C48" s="11">
        <v>4515829</v>
      </c>
      <c r="D48" s="72">
        <f>+C48/C49*200</f>
        <v>190.51176663534241</v>
      </c>
    </row>
    <row r="49" spans="2:4" ht="15.75" thickBot="1" x14ac:dyDescent="0.35">
      <c r="B49" s="89" t="s">
        <v>55</v>
      </c>
      <c r="C49" s="90">
        <f>AVERAGE(C43:C48)</f>
        <v>4740735</v>
      </c>
      <c r="D49" s="7"/>
    </row>
    <row r="50" spans="2:4" ht="15.75" thickBot="1" x14ac:dyDescent="0.35"/>
    <row r="51" spans="2:4" ht="60.75" thickBot="1" x14ac:dyDescent="0.35">
      <c r="B51" s="83" t="s">
        <v>69</v>
      </c>
      <c r="C51" s="130" t="s">
        <v>52</v>
      </c>
      <c r="D51" s="84" t="s">
        <v>56</v>
      </c>
    </row>
    <row r="52" spans="2:4" x14ac:dyDescent="0.3">
      <c r="B52" s="87" t="s">
        <v>61</v>
      </c>
      <c r="C52" s="91">
        <f>+D9</f>
        <v>412000</v>
      </c>
      <c r="D52" s="88"/>
    </row>
    <row r="53" spans="2:4" x14ac:dyDescent="0.3">
      <c r="B53" s="103" t="s">
        <v>18</v>
      </c>
      <c r="C53" s="9">
        <v>350200</v>
      </c>
      <c r="D53" s="71">
        <f>+C53/C58*60</f>
        <v>57.153530070974973</v>
      </c>
    </row>
    <row r="54" spans="2:4" x14ac:dyDescent="0.3">
      <c r="B54" s="103" t="s">
        <v>19</v>
      </c>
      <c r="C54" s="9">
        <v>360088</v>
      </c>
      <c r="D54" s="71">
        <v>60</v>
      </c>
    </row>
    <row r="55" spans="2:4" x14ac:dyDescent="0.3">
      <c r="B55" s="103" t="s">
        <v>20</v>
      </c>
      <c r="C55" s="9">
        <v>383160</v>
      </c>
      <c r="D55" s="71">
        <f>+C58/C55*60</f>
        <v>57.569892473118273</v>
      </c>
    </row>
    <row r="56" spans="2:4" x14ac:dyDescent="0.3">
      <c r="B56" s="103" t="s">
        <v>21</v>
      </c>
      <c r="C56" s="9">
        <v>350200</v>
      </c>
      <c r="D56" s="71">
        <f>+C56/C58*60</f>
        <v>57.153530070974973</v>
      </c>
    </row>
    <row r="57" spans="2:4" ht="15.75" thickBot="1" x14ac:dyDescent="0.35">
      <c r="B57" s="104" t="s">
        <v>43</v>
      </c>
      <c r="C57" s="11">
        <v>350200</v>
      </c>
      <c r="D57" s="72">
        <f>+C57/C58*60</f>
        <v>57.153530070974973</v>
      </c>
    </row>
    <row r="58" spans="2:4" ht="15.75" thickBot="1" x14ac:dyDescent="0.35">
      <c r="B58" s="89" t="s">
        <v>55</v>
      </c>
      <c r="C58" s="90">
        <f>AVERAGE(C52:C57)</f>
        <v>367641.33333333331</v>
      </c>
      <c r="D58" s="7"/>
    </row>
    <row r="59" spans="2:4" ht="15.75" thickBot="1" x14ac:dyDescent="0.35"/>
    <row r="60" spans="2:4" ht="30.75" thickBot="1" x14ac:dyDescent="0.35">
      <c r="B60" s="83" t="s">
        <v>69</v>
      </c>
      <c r="C60" s="132" t="s">
        <v>53</v>
      </c>
      <c r="D60" s="84" t="s">
        <v>56</v>
      </c>
    </row>
    <row r="61" spans="2:4" x14ac:dyDescent="0.3">
      <c r="B61" s="87" t="s">
        <v>61</v>
      </c>
      <c r="C61" s="91">
        <f>+D10</f>
        <v>154500</v>
      </c>
      <c r="D61" s="88"/>
    </row>
    <row r="62" spans="2:4" x14ac:dyDescent="0.3">
      <c r="B62" s="103" t="s">
        <v>18</v>
      </c>
      <c r="C62" s="9">
        <v>131325</v>
      </c>
      <c r="D62" s="71">
        <f>+C62/C67*40</f>
        <v>38.10235338064998</v>
      </c>
    </row>
    <row r="63" spans="2:4" x14ac:dyDescent="0.3">
      <c r="B63" s="103" t="s">
        <v>19</v>
      </c>
      <c r="C63" s="9">
        <v>135033</v>
      </c>
      <c r="D63" s="71">
        <v>40</v>
      </c>
    </row>
    <row r="64" spans="2:4" x14ac:dyDescent="0.3">
      <c r="B64" s="103" t="s">
        <v>20</v>
      </c>
      <c r="C64" s="9">
        <v>143685</v>
      </c>
      <c r="D64" s="71">
        <f>+C67/C64*40</f>
        <v>38.379928315412187</v>
      </c>
    </row>
    <row r="65" spans="2:4" x14ac:dyDescent="0.3">
      <c r="B65" s="103" t="s">
        <v>21</v>
      </c>
      <c r="C65" s="9">
        <v>131325</v>
      </c>
      <c r="D65" s="71">
        <f>+C65/C67*40</f>
        <v>38.10235338064998</v>
      </c>
    </row>
    <row r="66" spans="2:4" ht="15.75" thickBot="1" x14ac:dyDescent="0.35">
      <c r="B66" s="104" t="s">
        <v>43</v>
      </c>
      <c r="C66" s="11">
        <v>131325</v>
      </c>
      <c r="D66" s="72">
        <f>+C66/C67*40</f>
        <v>38.10235338064998</v>
      </c>
    </row>
    <row r="67" spans="2:4" ht="15.75" thickBot="1" x14ac:dyDescent="0.35">
      <c r="B67" s="89" t="s">
        <v>55</v>
      </c>
      <c r="C67" s="90">
        <f>AVERAGE(C61:C66)</f>
        <v>137865.5</v>
      </c>
      <c r="D67" s="7"/>
    </row>
  </sheetData>
  <mergeCells count="3">
    <mergeCell ref="A2:I2"/>
    <mergeCell ref="A1:I1"/>
    <mergeCell ref="B13:D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G27" sqref="G27"/>
    </sheetView>
  </sheetViews>
  <sheetFormatPr baseColWidth="10" defaultRowHeight="15" x14ac:dyDescent="0.3"/>
  <cols>
    <col min="1" max="1" width="11.42578125" style="1"/>
    <col min="2" max="2" width="56.85546875" style="1" customWidth="1"/>
    <col min="3" max="3" width="15.5703125" style="1" customWidth="1"/>
    <col min="4" max="16384" width="11.42578125" style="1"/>
  </cols>
  <sheetData>
    <row r="1" spans="2:5" ht="15.75" customHeight="1" x14ac:dyDescent="0.35">
      <c r="B1" s="144" t="s">
        <v>16</v>
      </c>
      <c r="C1" s="144"/>
      <c r="D1" s="144"/>
    </row>
    <row r="2" spans="2:5" ht="105.75" customHeight="1" x14ac:dyDescent="0.3">
      <c r="B2" s="143" t="s">
        <v>17</v>
      </c>
      <c r="C2" s="143"/>
      <c r="D2" s="143"/>
    </row>
    <row r="3" spans="2:5" ht="18" x14ac:dyDescent="0.3">
      <c r="B3" s="105"/>
      <c r="C3" s="105"/>
      <c r="D3" s="105"/>
    </row>
    <row r="4" spans="2:5" ht="16.5" customHeight="1" thickBot="1" x14ac:dyDescent="0.35">
      <c r="B4" s="145" t="s">
        <v>70</v>
      </c>
      <c r="C4" s="145"/>
      <c r="D4" s="133"/>
    </row>
    <row r="5" spans="2:5" ht="15.75" thickBot="1" x14ac:dyDescent="0.35">
      <c r="B5" s="93" t="s">
        <v>58</v>
      </c>
      <c r="C5" s="94" t="s">
        <v>57</v>
      </c>
    </row>
    <row r="6" spans="2:5" x14ac:dyDescent="0.3">
      <c r="B6" s="106" t="s">
        <v>19</v>
      </c>
      <c r="C6" s="98">
        <f>+'ECONOMICA EQUIPOS'!D18+'ECONOMICA EQUIPOS'!D27+'ECONOMICA EQUIPOS'!D36+'ECONOMICA EQUIPOS'!D45+'ECONOMICA EQUIPOS'!D54+'ECONOMICA EQUIPOS'!D63</f>
        <v>800</v>
      </c>
    </row>
    <row r="7" spans="2:5" x14ac:dyDescent="0.3">
      <c r="B7" s="107" t="s">
        <v>20</v>
      </c>
      <c r="C7" s="99">
        <f>+'ECONOMICA EQUIPOS'!D19+'ECONOMICA EQUIPOS'!D28+'ECONOMICA EQUIPOS'!D37+'ECONOMICA EQUIPOS'!D46+'ECONOMICA EQUIPOS'!D55+'ECONOMICA EQUIPOS'!D64</f>
        <v>767.59859470385254</v>
      </c>
    </row>
    <row r="8" spans="2:5" x14ac:dyDescent="0.3">
      <c r="B8" s="107" t="s">
        <v>18</v>
      </c>
      <c r="C8" s="99">
        <f>+'ECONOMICA EQUIPOS'!D17+'ECONOMICA EQUIPOS'!D26+'ECONOMICA EQUIPOS'!D35+'ECONOMICA EQUIPOS'!D44+'ECONOMICA EQUIPOS'!D53+'ECONOMICA EQUIPOS'!D62</f>
        <v>762.04704859393223</v>
      </c>
    </row>
    <row r="9" spans="2:5" x14ac:dyDescent="0.3">
      <c r="B9" s="107" t="s">
        <v>21</v>
      </c>
      <c r="C9" s="99">
        <f>+'ECONOMICA EQUIPOS'!D20+'ECONOMICA EQUIPOS'!D29+'ECONOMICA EQUIPOS'!D38+'ECONOMICA EQUIPOS'!D47+'ECONOMICA EQUIPOS'!D56+'ECONOMICA EQUIPOS'!D65</f>
        <v>762.04707872873121</v>
      </c>
    </row>
    <row r="10" spans="2:5" ht="15.75" thickBot="1" x14ac:dyDescent="0.35">
      <c r="B10" s="108" t="s">
        <v>43</v>
      </c>
      <c r="C10" s="100">
        <f>+'ECONOMICA EQUIPOS'!D21+'ECONOMICA EQUIPOS'!D30+'ECONOMICA EQUIPOS'!D39+'ECONOMICA EQUIPOS'!D48+'ECONOMICA EQUIPOS'!D57+'ECONOMICA EQUIPOS'!D66</f>
        <v>762.04707872873121</v>
      </c>
    </row>
    <row r="11" spans="2:5" x14ac:dyDescent="0.3">
      <c r="B11" s="14"/>
      <c r="C11" s="13"/>
    </row>
    <row r="13" spans="2:5" ht="15.75" thickBot="1" x14ac:dyDescent="0.35">
      <c r="B13" s="142" t="s">
        <v>66</v>
      </c>
      <c r="C13" s="142"/>
      <c r="D13" s="142"/>
      <c r="E13" s="92"/>
    </row>
    <row r="14" spans="2:5" ht="30.75" thickBot="1" x14ac:dyDescent="0.35">
      <c r="B14" s="119" t="s">
        <v>65</v>
      </c>
      <c r="C14" s="65" t="s">
        <v>64</v>
      </c>
      <c r="D14" s="120" t="s">
        <v>57</v>
      </c>
    </row>
    <row r="15" spans="2:5" x14ac:dyDescent="0.3">
      <c r="B15" s="116" t="s">
        <v>19</v>
      </c>
      <c r="C15" s="117">
        <v>0.06</v>
      </c>
      <c r="D15" s="118">
        <v>100</v>
      </c>
    </row>
    <row r="16" spans="2:5" x14ac:dyDescent="0.3">
      <c r="B16" s="111" t="s">
        <v>20</v>
      </c>
      <c r="C16" s="110">
        <v>0.06</v>
      </c>
      <c r="D16" s="112">
        <v>100</v>
      </c>
    </row>
    <row r="17" spans="2:4" x14ac:dyDescent="0.3">
      <c r="B17" s="111" t="s">
        <v>18</v>
      </c>
      <c r="C17" s="110">
        <v>0.06</v>
      </c>
      <c r="D17" s="112">
        <v>100</v>
      </c>
    </row>
    <row r="18" spans="2:4" x14ac:dyDescent="0.3">
      <c r="B18" s="111" t="s">
        <v>21</v>
      </c>
      <c r="C18" s="110">
        <v>0.06</v>
      </c>
      <c r="D18" s="112">
        <v>100</v>
      </c>
    </row>
    <row r="19" spans="2:4" ht="15.75" thickBot="1" x14ac:dyDescent="0.35">
      <c r="B19" s="113" t="s">
        <v>43</v>
      </c>
      <c r="C19" s="114">
        <v>0.06</v>
      </c>
      <c r="D19" s="115">
        <v>100</v>
      </c>
    </row>
    <row r="22" spans="2:4" s="134" customFormat="1" x14ac:dyDescent="0.3">
      <c r="B22" s="141" t="s">
        <v>71</v>
      </c>
      <c r="C22" s="141"/>
    </row>
    <row r="23" spans="2:4" s="134" customFormat="1" ht="15.75" thickBot="1" x14ac:dyDescent="0.35">
      <c r="B23" s="135"/>
      <c r="C23" s="135"/>
    </row>
    <row r="24" spans="2:4" ht="15.75" thickBot="1" x14ac:dyDescent="0.35">
      <c r="B24" s="93" t="s">
        <v>58</v>
      </c>
      <c r="C24" s="94" t="s">
        <v>67</v>
      </c>
    </row>
    <row r="25" spans="2:4" x14ac:dyDescent="0.3">
      <c r="B25" s="106" t="s">
        <v>19</v>
      </c>
      <c r="C25" s="95">
        <f>+C6+D15</f>
        <v>900</v>
      </c>
    </row>
    <row r="26" spans="2:4" x14ac:dyDescent="0.3">
      <c r="B26" s="107" t="s">
        <v>20</v>
      </c>
      <c r="C26" s="96">
        <f>+C7+D16</f>
        <v>867.59859470385254</v>
      </c>
    </row>
    <row r="27" spans="2:4" x14ac:dyDescent="0.3">
      <c r="B27" s="107" t="s">
        <v>18</v>
      </c>
      <c r="C27" s="96">
        <f>+C8+D17</f>
        <v>862.04704859393223</v>
      </c>
    </row>
    <row r="28" spans="2:4" x14ac:dyDescent="0.3">
      <c r="B28" s="107" t="s">
        <v>21</v>
      </c>
      <c r="C28" s="96">
        <f>+C9+D18</f>
        <v>862.04707872873121</v>
      </c>
    </row>
    <row r="29" spans="2:4" ht="15.75" thickBot="1" x14ac:dyDescent="0.35">
      <c r="B29" s="108" t="s">
        <v>43</v>
      </c>
      <c r="C29" s="97">
        <f>+C10+D19</f>
        <v>862.04707872873121</v>
      </c>
    </row>
  </sheetData>
  <sortState ref="B7:C11">
    <sortCondition descending="1" ref="C7:C11"/>
  </sortState>
  <mergeCells count="5">
    <mergeCell ref="B22:C22"/>
    <mergeCell ref="B13:D13"/>
    <mergeCell ref="B2:D2"/>
    <mergeCell ref="B1:D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FINANCIERA </vt:lpstr>
      <vt:lpstr>ECONOMICA EQUIPOS</vt:lpstr>
      <vt:lpstr>RESUMEN ECONOMICA</vt:lpstr>
      <vt:lpstr>'FINANCIERA '!Área_de_impresión</vt:lpstr>
      <vt:lpstr>'RESUMEN ECONOMICA'!Área_de_impresión</vt:lpstr>
    </vt:vector>
  </TitlesOfParts>
  <Company>SEÑAL COLOMBIA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pocampo</dc:creator>
  <cp:lastModifiedBy>Andru Coronado</cp:lastModifiedBy>
  <cp:lastPrinted>2013-11-26T20:30:37Z</cp:lastPrinted>
  <dcterms:created xsi:type="dcterms:W3CDTF">2013-11-23T14:49:16Z</dcterms:created>
  <dcterms:modified xsi:type="dcterms:W3CDTF">2013-11-28T23:04:05Z</dcterms:modified>
</cp:coreProperties>
</file>