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755"/>
  </bookViews>
  <sheets>
    <sheet name="FINANCIERA" sheetId="1" r:id="rId1"/>
    <sheet name="Hoja1" sheetId="3" r:id="rId2"/>
  </sheets>
  <definedNames>
    <definedName name="_xlnm.Print_Area" localSheetId="0">FINANCIERA!$A$1:$E$23</definedName>
    <definedName name="_xlnm.Print_Area" localSheetId="1">Hoja1!$A$1:$O$31</definedName>
  </definedNames>
  <calcPr calcId="125725"/>
</workbook>
</file>

<file path=xl/calcChain.xml><?xml version="1.0" encoding="utf-8"?>
<calcChain xmlns="http://schemas.openxmlformats.org/spreadsheetml/2006/main">
  <c r="B15" i="1"/>
  <c r="N22" i="3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K9"/>
  <c r="L9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9"/>
  <c r="I9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19" i="1"/>
  <c r="E17"/>
  <c r="E15"/>
  <c r="E13"/>
  <c r="F23" i="3" l="1"/>
  <c r="O23"/>
  <c r="B29" s="1"/>
  <c r="L23"/>
  <c r="I23"/>
  <c r="D19" i="1"/>
  <c r="D17"/>
  <c r="D15"/>
  <c r="D13"/>
  <c r="C19"/>
  <c r="C17"/>
  <c r="C15"/>
  <c r="C13"/>
  <c r="B19"/>
  <c r="B17"/>
  <c r="B13"/>
  <c r="B23" l="1"/>
</calcChain>
</file>

<file path=xl/sharedStrings.xml><?xml version="1.0" encoding="utf-8"?>
<sst xmlns="http://schemas.openxmlformats.org/spreadsheetml/2006/main" count="92" uniqueCount="68">
  <si>
    <t>Estados financieros comparativos del año 2012-2011 (Balance General y Estado de Pérdidas y Ganancias) especificando el activo corriente, activo fijo, pasivo corriente y pasivo a largo plazo, firmados por el proponente persona natural o por el Representante Legal de la persona jurídica y el contador o Revisor Fiscal de la empresa si está obligado a tener.</t>
  </si>
  <si>
    <t>b) Notas a los Estados Financieros según Artículo 36 Ley 222/95.</t>
  </si>
  <si>
    <t>c) Certificación de los Estados Financieros según Artículo 37 Ley 222/95.</t>
  </si>
  <si>
    <t>d) Certificados de vigencia y Antecedentes Disciplinarios del contador y/o del revisor fiscal, expedidos por la Junta Central de Contadores, con fecha no mayor a noventa (90) días calendario, anteriores a la fecha del presente proceso de contratación.</t>
  </si>
  <si>
    <t>INDICADORES FINANCIEROS</t>
  </si>
  <si>
    <t>LIQUIDEZ  ≥ 1</t>
  </si>
  <si>
    <t>ACTIVO CORRIENTE / PASIVO CORRIENTE</t>
  </si>
  <si>
    <t xml:space="preserve">ENDEUDAMIENTO  ≤  70% </t>
  </si>
  <si>
    <t xml:space="preserve">PASIVO TOTAL / ACTIVO TOTAL </t>
  </si>
  <si>
    <t xml:space="preserve">**CAPITAL DE TRABAJO ≥  10% PRESUPUESTO </t>
  </si>
  <si>
    <t>ACTIVOS CORRIENTES- PASIVOS CORRIENTES</t>
  </si>
  <si>
    <t>**PATRIMONIO ≥  10% PRESUPUESTO</t>
  </si>
  <si>
    <t xml:space="preserve">ACTIVO TOTAL - PASIVO TOTAL </t>
  </si>
  <si>
    <t>CUMPLE</t>
  </si>
  <si>
    <t>DOCUMENTOS</t>
  </si>
  <si>
    <t>PRESUPUESTO</t>
  </si>
  <si>
    <t>Milles pesos</t>
  </si>
  <si>
    <t>RADIO TELEVISIÓN NACIONAL DE COLOMBIA -RTVC-, REQUIERE LA ADQUISICIÓN, INSTALACIÓN Y PUESTA EN FUNCIONAMIENTO DE EQUIPOS PARA LA PRODUCCIÓN Y TRANSMISIÓN DE LA PROGRAMACIÓN DE LAS EMISORAS DE LA SUBGERENCIA DE RADIO, QUE PERMITAN ATENDER LOS COMPROMISOS ADQUIRIDOS EN CUMPLIMIENTO DE SU ACTIVIDAD MISIONAL, DE ACUERDO CON LAS ESPECIFICACIONES Y CONDICIONES DESCRITAS EN EL ANEXO - FICHA TÉCNICA</t>
  </si>
  <si>
    <t>FOLIO 23-28</t>
  </si>
  <si>
    <t>FOLIO 29-35</t>
  </si>
  <si>
    <t>FOLIO 38</t>
  </si>
  <si>
    <t>FOLIO 36-37</t>
  </si>
  <si>
    <t>VCR LTDA</t>
  </si>
  <si>
    <t>FOLIO 20</t>
  </si>
  <si>
    <t>FOLIO 25-28</t>
  </si>
  <si>
    <t>FOLIO 29-31</t>
  </si>
  <si>
    <t>FOLIO 35-36</t>
  </si>
  <si>
    <t>CIRT COMUNICACIONES</t>
  </si>
  <si>
    <t>FOLIO 21-22</t>
  </si>
  <si>
    <t>FOLIO 23</t>
  </si>
  <si>
    <t>FOLIO 24</t>
  </si>
  <si>
    <t>FOLIO 25</t>
  </si>
  <si>
    <t>PROINTEL S.A.S</t>
  </si>
  <si>
    <t>FOLIO 22-23</t>
  </si>
  <si>
    <t>ITEM</t>
  </si>
  <si>
    <t>Códec de Audio (Tipo 1)</t>
  </si>
  <si>
    <t>Equipo de Rack</t>
  </si>
  <si>
    <t>Equipo Portátil</t>
  </si>
  <si>
    <t>Códec de Audio (Tipo 2)</t>
  </si>
  <si>
    <t>Enlace de Audio</t>
  </si>
  <si>
    <t>Monitor de Audio</t>
  </si>
  <si>
    <t>Enlace FM</t>
  </si>
  <si>
    <t>Tarjeta de Audio</t>
  </si>
  <si>
    <t>Sintonizador FM/AM</t>
  </si>
  <si>
    <t>Apuntadores</t>
  </si>
  <si>
    <t>Estación de Soldadura</t>
  </si>
  <si>
    <t>Carrete Cable Digital</t>
  </si>
  <si>
    <t>Planta eléctrica</t>
  </si>
  <si>
    <t>Radio Teléfono</t>
  </si>
  <si>
    <t>CANT.</t>
  </si>
  <si>
    <t>VALOR UNITARIO SIN IVA</t>
  </si>
  <si>
    <t>IVA</t>
  </si>
  <si>
    <t>VALOR TOTAL IVA INCLUÍDO</t>
  </si>
  <si>
    <t>X</t>
  </si>
  <si>
    <t>PROINTEL COLOMBIA S.A.S</t>
  </si>
  <si>
    <t xml:space="preserve">PUNTAJE </t>
  </si>
  <si>
    <t>OFERTA</t>
  </si>
  <si>
    <t>PROPONENE</t>
  </si>
  <si>
    <t>EVALUACION  ECONOMICA INVITACIÓN CERRADA 06-2013</t>
  </si>
  <si>
    <t>EVALUACION FINANCIERA INVITACIÓN CERRADA 06-2013</t>
  </si>
  <si>
    <t>VERIFIACION OFERTA ECONOMICA</t>
  </si>
  <si>
    <t>INSTRONYC COMUNICACIONES S.A.S</t>
  </si>
  <si>
    <t>INSTRONYC COMUNICACIONES S.A.S
FOLIO 54-55</t>
  </si>
  <si>
    <t>CIRT COMUNICACIONES
FOLIO 19-20</t>
  </si>
  <si>
    <t xml:space="preserve">VCR
CARPETA </t>
  </si>
  <si>
    <t>FOLIO 26-28</t>
  </si>
  <si>
    <t>Los proponentes ISTRONYC COMUNICACIONES S.A.S, CIRT COMUNICACIONES y VCR quedaron inhabilitados por no cumplir con los parámetros técnicos establecidos en el pliego de condiciones definitivo.</t>
  </si>
  <si>
    <t>PROINTEL COLOMBIA S.A.S 
FOLIO 35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</si>
</sst>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([$$-240A]\ * #,##0.0_);_([$$-240A]\ * \(#,##0.0\);_([$$-240A]\ 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2"/>
      <color theme="1"/>
      <name val="Trebuchet MS"/>
      <family val="2"/>
    </font>
    <font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i/>
      <sz val="10"/>
      <color theme="1"/>
      <name val="Trebuchet MS"/>
      <family val="2"/>
    </font>
    <font>
      <i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5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/>
    <xf numFmtId="0" fontId="4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164" fontId="2" fillId="2" borderId="8" xfId="1" applyFont="1" applyFill="1" applyBorder="1" applyAlignment="1">
      <alignment vertical="center"/>
    </xf>
    <xf numFmtId="0" fontId="2" fillId="2" borderId="6" xfId="0" applyFont="1" applyFill="1" applyBorder="1"/>
    <xf numFmtId="164" fontId="2" fillId="2" borderId="6" xfId="1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center" vertical="center"/>
    </xf>
    <xf numFmtId="9" fontId="2" fillId="2" borderId="6" xfId="2" applyFont="1" applyFill="1" applyBorder="1" applyAlignment="1">
      <alignment horizontal="right" vertical="center"/>
    </xf>
    <xf numFmtId="165" fontId="2" fillId="2" borderId="6" xfId="1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166" fontId="3" fillId="2" borderId="0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12" xfId="0" applyFont="1" applyBorder="1" applyAlignment="1">
      <alignment horizontal="center"/>
    </xf>
    <xf numFmtId="165" fontId="4" fillId="0" borderId="18" xfId="1" applyNumberFormat="1" applyFont="1" applyBorder="1" applyAlignment="1">
      <alignment horizontal="center" vertical="center" wrapText="1"/>
    </xf>
    <xf numFmtId="165" fontId="4" fillId="0" borderId="12" xfId="1" applyNumberFormat="1" applyFont="1" applyBorder="1" applyAlignment="1">
      <alignment horizontal="center" vertical="center"/>
    </xf>
    <xf numFmtId="165" fontId="4" fillId="0" borderId="12" xfId="1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24" xfId="0" applyFont="1" applyBorder="1" applyAlignment="1">
      <alignment horizontal="left" vertical="center" wrapText="1"/>
    </xf>
    <xf numFmtId="165" fontId="2" fillId="0" borderId="19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165" fontId="2" fillId="0" borderId="20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2" fillId="0" borderId="21" xfId="1" applyNumberFormat="1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 wrapText="1"/>
    </xf>
    <xf numFmtId="165" fontId="2" fillId="0" borderId="26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center" wrapText="1"/>
    </xf>
    <xf numFmtId="165" fontId="3" fillId="0" borderId="26" xfId="1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165" fontId="3" fillId="0" borderId="3" xfId="1" applyNumberFormat="1" applyFont="1" applyBorder="1" applyAlignment="1"/>
    <xf numFmtId="165" fontId="2" fillId="0" borderId="27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3" fillId="0" borderId="26" xfId="1" applyNumberFormat="1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4" fillId="0" borderId="18" xfId="1" applyNumberFormat="1" applyFont="1" applyBorder="1" applyAlignment="1">
      <alignment horizontal="center" wrapText="1"/>
    </xf>
    <xf numFmtId="165" fontId="4" fillId="0" borderId="22" xfId="1" applyNumberFormat="1" applyFont="1" applyBorder="1" applyAlignment="1">
      <alignment horizontal="center"/>
    </xf>
    <xf numFmtId="165" fontId="4" fillId="0" borderId="13" xfId="1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A16" sqref="A16"/>
    </sheetView>
  </sheetViews>
  <sheetFormatPr baseColWidth="10" defaultRowHeight="15"/>
  <cols>
    <col min="1" max="1" width="75.7109375" style="1" customWidth="1"/>
    <col min="2" max="4" width="23" style="2" customWidth="1"/>
    <col min="5" max="5" width="21" style="2" bestFit="1" customWidth="1"/>
    <col min="6" max="16384" width="11.42578125" style="1"/>
  </cols>
  <sheetData>
    <row r="1" spans="1:5" ht="18">
      <c r="A1" s="87" t="s">
        <v>59</v>
      </c>
      <c r="B1" s="87"/>
      <c r="C1" s="87"/>
      <c r="D1" s="87"/>
      <c r="E1" s="87"/>
    </row>
    <row r="2" spans="1:5" ht="116.25" customHeight="1" thickBot="1">
      <c r="A2" s="86" t="s">
        <v>17</v>
      </c>
      <c r="B2" s="86"/>
      <c r="C2" s="86"/>
      <c r="D2" s="86"/>
      <c r="E2" s="86"/>
    </row>
    <row r="3" spans="1:5" ht="30.75" thickBot="1">
      <c r="A3" s="27" t="s">
        <v>14</v>
      </c>
      <c r="B3" s="26" t="s">
        <v>61</v>
      </c>
      <c r="C3" s="26" t="s">
        <v>22</v>
      </c>
      <c r="D3" s="26" t="s">
        <v>27</v>
      </c>
      <c r="E3" s="26" t="s">
        <v>32</v>
      </c>
    </row>
    <row r="4" spans="1:5" ht="75">
      <c r="A4" s="3" t="s">
        <v>0</v>
      </c>
      <c r="B4" s="4" t="s">
        <v>18</v>
      </c>
      <c r="C4" s="4" t="s">
        <v>24</v>
      </c>
      <c r="D4" s="4" t="s">
        <v>28</v>
      </c>
      <c r="E4" s="4" t="s">
        <v>33</v>
      </c>
    </row>
    <row r="5" spans="1:5">
      <c r="A5" s="5" t="s">
        <v>1</v>
      </c>
      <c r="B5" s="6" t="s">
        <v>19</v>
      </c>
      <c r="C5" s="6" t="s">
        <v>25</v>
      </c>
      <c r="D5" s="6" t="s">
        <v>30</v>
      </c>
      <c r="E5" s="6" t="s">
        <v>65</v>
      </c>
    </row>
    <row r="6" spans="1:5">
      <c r="A6" s="5" t="s">
        <v>2</v>
      </c>
      <c r="B6" s="6" t="s">
        <v>20</v>
      </c>
      <c r="C6" s="6" t="s">
        <v>23</v>
      </c>
      <c r="D6" s="6" t="s">
        <v>29</v>
      </c>
      <c r="E6" s="6" t="s">
        <v>53</v>
      </c>
    </row>
    <row r="7" spans="1:5" ht="45.75" thickBot="1">
      <c r="A7" s="7" t="s">
        <v>3</v>
      </c>
      <c r="B7" s="8" t="s">
        <v>21</v>
      </c>
      <c r="C7" s="8" t="s">
        <v>26</v>
      </c>
      <c r="D7" s="8" t="s">
        <v>31</v>
      </c>
      <c r="E7" s="8" t="s">
        <v>30</v>
      </c>
    </row>
    <row r="8" spans="1:5" ht="15.75" thickBot="1">
      <c r="A8" s="9"/>
      <c r="B8" s="10" t="s">
        <v>13</v>
      </c>
      <c r="C8" s="10" t="s">
        <v>13</v>
      </c>
      <c r="D8" s="10" t="s">
        <v>13</v>
      </c>
      <c r="E8" s="10" t="s">
        <v>13</v>
      </c>
    </row>
    <row r="9" spans="1:5">
      <c r="A9" s="11"/>
      <c r="B9" s="11"/>
      <c r="C9" s="11"/>
      <c r="D9" s="11"/>
      <c r="E9" s="11"/>
    </row>
    <row r="10" spans="1:5" ht="18.75" thickBot="1">
      <c r="A10" s="85" t="s">
        <v>4</v>
      </c>
      <c r="B10" s="85"/>
      <c r="C10" s="28"/>
      <c r="D10" s="28"/>
      <c r="E10" s="1"/>
    </row>
    <row r="11" spans="1:5" ht="15.75" thickBot="1">
      <c r="B11" s="12" t="s">
        <v>16</v>
      </c>
      <c r="C11" s="12" t="s">
        <v>16</v>
      </c>
      <c r="D11" s="12" t="s">
        <v>16</v>
      </c>
      <c r="E11" s="12" t="s">
        <v>16</v>
      </c>
    </row>
    <row r="12" spans="1:5">
      <c r="A12" s="13" t="s">
        <v>5</v>
      </c>
      <c r="B12" s="14"/>
      <c r="C12" s="14"/>
      <c r="D12" s="14"/>
      <c r="E12" s="14"/>
    </row>
    <row r="13" spans="1:5">
      <c r="A13" s="15" t="s">
        <v>6</v>
      </c>
      <c r="B13" s="16">
        <f>2529322000/485963000</f>
        <v>5.2047625024950461</v>
      </c>
      <c r="C13" s="16">
        <f>1951331029/689467776</f>
        <v>2.8301990273146571</v>
      </c>
      <c r="D13" s="16">
        <f>174676000/45037000</f>
        <v>3.8784999000821547</v>
      </c>
      <c r="E13" s="16">
        <f>373332474/222005518</f>
        <v>1.6816360123084868</v>
      </c>
    </row>
    <row r="14" spans="1:5">
      <c r="A14" s="17" t="s">
        <v>7</v>
      </c>
      <c r="B14" s="18"/>
      <c r="C14" s="18"/>
      <c r="D14" s="18"/>
      <c r="E14" s="18"/>
    </row>
    <row r="15" spans="1:5">
      <c r="A15" s="15" t="s">
        <v>8</v>
      </c>
      <c r="B15" s="19">
        <f>485963000/4682869000</f>
        <v>0.10377463046692102</v>
      </c>
      <c r="C15" s="19">
        <f>789467776/2058069188</f>
        <v>0.38359632445942821</v>
      </c>
      <c r="D15" s="19">
        <f>45037000/174676000</f>
        <v>0.25783164258398406</v>
      </c>
      <c r="E15" s="19">
        <f>222005518/542777569</f>
        <v>0.40901748834060608</v>
      </c>
    </row>
    <row r="16" spans="1:5">
      <c r="A16" s="17" t="s">
        <v>9</v>
      </c>
      <c r="B16" s="20"/>
      <c r="C16" s="20"/>
      <c r="D16" s="20"/>
      <c r="E16" s="20"/>
    </row>
    <row r="17" spans="1:5">
      <c r="A17" s="15" t="s">
        <v>10</v>
      </c>
      <c r="B17" s="21">
        <f>2529322000-485963000</f>
        <v>2043359000</v>
      </c>
      <c r="C17" s="21">
        <f>1951331029-689467776</f>
        <v>1261863253</v>
      </c>
      <c r="D17" s="21">
        <f>174676000-45037000</f>
        <v>129639000</v>
      </c>
      <c r="E17" s="21">
        <f>373332474-222005518</f>
        <v>151326956</v>
      </c>
    </row>
    <row r="18" spans="1:5">
      <c r="A18" s="17" t="s">
        <v>11</v>
      </c>
      <c r="B18" s="20"/>
      <c r="C18" s="20"/>
      <c r="D18" s="20"/>
      <c r="E18" s="20"/>
    </row>
    <row r="19" spans="1:5">
      <c r="A19" s="15" t="s">
        <v>12</v>
      </c>
      <c r="B19" s="21">
        <f>4682869000-485963000</f>
        <v>4196906000</v>
      </c>
      <c r="C19" s="21">
        <f>2058069188-789467776</f>
        <v>1268601412</v>
      </c>
      <c r="D19" s="21">
        <f>174676000-45037000</f>
        <v>129639000</v>
      </c>
      <c r="E19" s="21">
        <f>542777569-222005518</f>
        <v>320772051</v>
      </c>
    </row>
    <row r="20" spans="1:5" ht="15.75" thickBot="1">
      <c r="A20" s="22"/>
      <c r="B20" s="23" t="s">
        <v>13</v>
      </c>
      <c r="C20" s="23" t="s">
        <v>13</v>
      </c>
      <c r="D20" s="23" t="s">
        <v>13</v>
      </c>
      <c r="E20" s="23" t="s">
        <v>13</v>
      </c>
    </row>
    <row r="21" spans="1:5" ht="15.75" thickBot="1"/>
    <row r="22" spans="1:5">
      <c r="A22" s="83" t="s">
        <v>15</v>
      </c>
      <c r="B22" s="24">
        <v>303000000</v>
      </c>
      <c r="C22" s="29"/>
      <c r="D22" s="29"/>
    </row>
    <row r="23" spans="1:5" ht="15.75" thickBot="1">
      <c r="A23" s="84"/>
      <c r="B23" s="25">
        <f>+B22*10%</f>
        <v>30300000</v>
      </c>
      <c r="C23" s="30"/>
      <c r="D23" s="30"/>
    </row>
  </sheetData>
  <mergeCells count="4">
    <mergeCell ref="A22:A23"/>
    <mergeCell ref="A10:B10"/>
    <mergeCell ref="A2:E2"/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opLeftCell="A4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K25" sqref="K25"/>
    </sheetView>
  </sheetViews>
  <sheetFormatPr baseColWidth="10" defaultRowHeight="16.5"/>
  <cols>
    <col min="1" max="1" width="27.85546875" style="32" customWidth="1"/>
    <col min="2" max="2" width="19.85546875" style="33" customWidth="1"/>
    <col min="3" max="3" width="10" style="34" bestFit="1" customWidth="1"/>
    <col min="4" max="4" width="16.7109375" style="35" customWidth="1"/>
    <col min="5" max="5" width="10.5703125" style="36" customWidth="1"/>
    <col min="6" max="6" width="17.140625" style="37" customWidth="1"/>
    <col min="7" max="7" width="16.7109375" style="35" customWidth="1"/>
    <col min="8" max="8" width="10.5703125" style="36" customWidth="1"/>
    <col min="9" max="9" width="17.140625" style="37" customWidth="1"/>
    <col min="10" max="10" width="16.7109375" style="35" bestFit="1" customWidth="1"/>
    <col min="11" max="11" width="10.5703125" style="36" bestFit="1" customWidth="1"/>
    <col min="12" max="12" width="19.28515625" style="37" bestFit="1" customWidth="1"/>
    <col min="13" max="13" width="16.7109375" style="35" bestFit="1" customWidth="1"/>
    <col min="14" max="14" width="10.5703125" style="36" bestFit="1" customWidth="1"/>
    <col min="15" max="15" width="19.28515625" style="37" bestFit="1" customWidth="1"/>
    <col min="16" max="16384" width="11.42578125" style="31"/>
  </cols>
  <sheetData>
    <row r="1" spans="1:15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76.5" customHeight="1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5" spans="1:15">
      <c r="A5" s="71" t="s">
        <v>60</v>
      </c>
    </row>
    <row r="6" spans="1:15" s="44" customFormat="1" ht="15.75" thickBot="1">
      <c r="A6" s="38"/>
      <c r="B6" s="39"/>
      <c r="C6" s="40"/>
      <c r="D6" s="41"/>
      <c r="E6" s="42"/>
      <c r="F6" s="43"/>
      <c r="G6" s="41"/>
      <c r="H6" s="42"/>
      <c r="I6" s="43"/>
      <c r="J6" s="41"/>
      <c r="K6" s="42"/>
      <c r="L6" s="43"/>
      <c r="M6" s="41"/>
      <c r="N6" s="42"/>
      <c r="O6" s="43"/>
    </row>
    <row r="7" spans="1:15" s="48" customFormat="1" ht="48.75" customHeight="1" thickBot="1">
      <c r="A7" s="45"/>
      <c r="B7" s="46"/>
      <c r="C7" s="47"/>
      <c r="D7" s="95" t="s">
        <v>62</v>
      </c>
      <c r="E7" s="96"/>
      <c r="F7" s="97"/>
      <c r="G7" s="95" t="s">
        <v>63</v>
      </c>
      <c r="H7" s="96"/>
      <c r="I7" s="97"/>
      <c r="J7" s="95" t="s">
        <v>64</v>
      </c>
      <c r="K7" s="96"/>
      <c r="L7" s="97"/>
      <c r="M7" s="95" t="s">
        <v>67</v>
      </c>
      <c r="N7" s="96"/>
      <c r="O7" s="97"/>
    </row>
    <row r="8" spans="1:15" s="53" customFormat="1" ht="45.75" thickBot="1">
      <c r="A8" s="93" t="s">
        <v>34</v>
      </c>
      <c r="B8" s="94"/>
      <c r="C8" s="49" t="s">
        <v>49</v>
      </c>
      <c r="D8" s="50" t="s">
        <v>50</v>
      </c>
      <c r="E8" s="51" t="s">
        <v>51</v>
      </c>
      <c r="F8" s="52" t="s">
        <v>52</v>
      </c>
      <c r="G8" s="50" t="s">
        <v>50</v>
      </c>
      <c r="H8" s="51" t="s">
        <v>51</v>
      </c>
      <c r="I8" s="52" t="s">
        <v>52</v>
      </c>
      <c r="J8" s="50" t="s">
        <v>50</v>
      </c>
      <c r="K8" s="51" t="s">
        <v>51</v>
      </c>
      <c r="L8" s="52" t="s">
        <v>52</v>
      </c>
      <c r="M8" s="50" t="s">
        <v>50</v>
      </c>
      <c r="N8" s="51" t="s">
        <v>51</v>
      </c>
      <c r="O8" s="52" t="s">
        <v>52</v>
      </c>
    </row>
    <row r="9" spans="1:15" s="80" customFormat="1" ht="39.75" customHeight="1">
      <c r="A9" s="98" t="s">
        <v>35</v>
      </c>
      <c r="B9" s="54" t="s">
        <v>36</v>
      </c>
      <c r="C9" s="102">
        <v>1</v>
      </c>
      <c r="D9" s="55">
        <v>6716500</v>
      </c>
      <c r="E9" s="78">
        <f>+D9*16%</f>
        <v>1074640</v>
      </c>
      <c r="F9" s="79">
        <f>+(D9+E9)*C9</f>
        <v>7791140</v>
      </c>
      <c r="G9" s="55">
        <v>7462739</v>
      </c>
      <c r="H9" s="78">
        <f>+G9*16%</f>
        <v>1194038.24</v>
      </c>
      <c r="I9" s="79">
        <f>+G9+H9</f>
        <v>8656777.2400000002</v>
      </c>
      <c r="J9" s="55">
        <v>8608100</v>
      </c>
      <c r="K9" s="78">
        <f>+J9*16%</f>
        <v>1377296</v>
      </c>
      <c r="L9" s="79">
        <f>+J9+K9</f>
        <v>9985396</v>
      </c>
      <c r="M9" s="55">
        <v>8070148</v>
      </c>
      <c r="N9" s="78">
        <f>+M9*16%</f>
        <v>1291223.68</v>
      </c>
      <c r="O9" s="79">
        <f>+(M9+N9)*C9</f>
        <v>9361371.6799999997</v>
      </c>
    </row>
    <row r="10" spans="1:15" s="44" customFormat="1" ht="15">
      <c r="A10" s="99"/>
      <c r="B10" s="58" t="s">
        <v>37</v>
      </c>
      <c r="C10" s="103"/>
      <c r="D10" s="59">
        <v>12309375</v>
      </c>
      <c r="E10" s="60">
        <f t="shared" ref="E10:E22" si="0">+D10*16%</f>
        <v>1969500</v>
      </c>
      <c r="F10" s="61">
        <f>+D10+E10</f>
        <v>14278875</v>
      </c>
      <c r="G10" s="59">
        <v>9778640</v>
      </c>
      <c r="H10" s="56">
        <f t="shared" ref="H10:H22" si="1">+G10*16%</f>
        <v>1564582.4000000001</v>
      </c>
      <c r="I10" s="61">
        <f>+G10+H10</f>
        <v>11343222.4</v>
      </c>
      <c r="J10" s="59">
        <v>15684200</v>
      </c>
      <c r="K10" s="56">
        <f t="shared" ref="K10:K22" si="2">+J10*16%</f>
        <v>2509472</v>
      </c>
      <c r="L10" s="61">
        <f>+J10+K10</f>
        <v>18193672</v>
      </c>
      <c r="M10" s="59">
        <v>12472826</v>
      </c>
      <c r="N10" s="56">
        <f t="shared" ref="N10:N22" si="3">+M10*16%</f>
        <v>1995652.1600000001</v>
      </c>
      <c r="O10" s="57">
        <f>+(M10+N10)*C9</f>
        <v>14468478.16</v>
      </c>
    </row>
    <row r="11" spans="1:15" s="44" customFormat="1" ht="15">
      <c r="A11" s="99" t="s">
        <v>38</v>
      </c>
      <c r="B11" s="62" t="s">
        <v>36</v>
      </c>
      <c r="C11" s="103">
        <v>3</v>
      </c>
      <c r="D11" s="59">
        <v>13407750</v>
      </c>
      <c r="E11" s="60">
        <f t="shared" si="0"/>
        <v>2145240</v>
      </c>
      <c r="F11" s="61">
        <f>+(D11+E11)*C11</f>
        <v>46658970</v>
      </c>
      <c r="G11" s="59">
        <v>7240395</v>
      </c>
      <c r="H11" s="56">
        <f t="shared" si="1"/>
        <v>1158463.2</v>
      </c>
      <c r="I11" s="61">
        <f>+(G11+H11)*3</f>
        <v>25196574.599999998</v>
      </c>
      <c r="J11" s="59">
        <v>13155900</v>
      </c>
      <c r="K11" s="56">
        <f t="shared" si="2"/>
        <v>2104944</v>
      </c>
      <c r="L11" s="61">
        <f>+(J11+K11)*3</f>
        <v>45782532</v>
      </c>
      <c r="M11" s="59">
        <v>10694607</v>
      </c>
      <c r="N11" s="56">
        <f t="shared" si="3"/>
        <v>1711137.12</v>
      </c>
      <c r="O11" s="57">
        <f>+(M11+N11)*C11</f>
        <v>37217232.359999999</v>
      </c>
    </row>
    <row r="12" spans="1:15" s="44" customFormat="1" ht="15">
      <c r="A12" s="99"/>
      <c r="B12" s="62" t="s">
        <v>37</v>
      </c>
      <c r="C12" s="103"/>
      <c r="D12" s="59">
        <v>11627625</v>
      </c>
      <c r="E12" s="60">
        <f t="shared" si="0"/>
        <v>1860420</v>
      </c>
      <c r="F12" s="61">
        <f>+(D12+E12)*C11</f>
        <v>40464135</v>
      </c>
      <c r="G12" s="59">
        <v>8060000</v>
      </c>
      <c r="H12" s="56">
        <f t="shared" si="1"/>
        <v>1289600</v>
      </c>
      <c r="I12" s="61">
        <f>+(G12+H12)*3</f>
        <v>28048800</v>
      </c>
      <c r="J12" s="59">
        <v>15777700</v>
      </c>
      <c r="K12" s="56">
        <f t="shared" si="2"/>
        <v>2524432</v>
      </c>
      <c r="L12" s="61">
        <f>+(J12+K12)*3</f>
        <v>54906396</v>
      </c>
      <c r="M12" s="59">
        <v>16007872</v>
      </c>
      <c r="N12" s="56">
        <f t="shared" si="3"/>
        <v>2561259.52</v>
      </c>
      <c r="O12" s="57">
        <f>+(M12+N12)*C11</f>
        <v>55707394.560000002</v>
      </c>
    </row>
    <row r="13" spans="1:15" s="44" customFormat="1" ht="15">
      <c r="A13" s="89" t="s">
        <v>39</v>
      </c>
      <c r="B13" s="90"/>
      <c r="C13" s="63">
        <v>2</v>
      </c>
      <c r="D13" s="59">
        <v>9463700</v>
      </c>
      <c r="E13" s="60">
        <f t="shared" si="0"/>
        <v>1514192</v>
      </c>
      <c r="F13" s="61">
        <f>+(D13+E13)*C13</f>
        <v>21955784</v>
      </c>
      <c r="G13" s="59">
        <v>9706340</v>
      </c>
      <c r="H13" s="56">
        <f t="shared" si="1"/>
        <v>1553014.4000000001</v>
      </c>
      <c r="I13" s="61">
        <f>+(G13+H13)*C13</f>
        <v>22518708.800000001</v>
      </c>
      <c r="J13" s="59">
        <v>9510000</v>
      </c>
      <c r="K13" s="56">
        <f t="shared" si="2"/>
        <v>1521600</v>
      </c>
      <c r="L13" s="61">
        <f>+(J13+K13)*$C$13</f>
        <v>22063200</v>
      </c>
      <c r="M13" s="59">
        <v>10969818</v>
      </c>
      <c r="N13" s="56">
        <f t="shared" si="3"/>
        <v>1755170.8800000001</v>
      </c>
      <c r="O13" s="57">
        <f t="shared" ref="O13:O22" si="4">+(M13+N13)*C13</f>
        <v>25449977.760000002</v>
      </c>
    </row>
    <row r="14" spans="1:15" s="44" customFormat="1" ht="15">
      <c r="A14" s="89" t="s">
        <v>40</v>
      </c>
      <c r="B14" s="90"/>
      <c r="C14" s="63">
        <v>2</v>
      </c>
      <c r="D14" s="59">
        <v>6054950</v>
      </c>
      <c r="E14" s="60">
        <f t="shared" si="0"/>
        <v>968792</v>
      </c>
      <c r="F14" s="61">
        <f t="shared" ref="F14:F22" si="5">+(D14+E14)*C14</f>
        <v>14047484</v>
      </c>
      <c r="G14" s="59">
        <v>4756896</v>
      </c>
      <c r="H14" s="56">
        <f t="shared" si="1"/>
        <v>761103.35999999999</v>
      </c>
      <c r="I14" s="61">
        <f t="shared" ref="I14:I22" si="6">+(G14+H14)*C14</f>
        <v>11035998.720000001</v>
      </c>
      <c r="J14" s="59">
        <v>4951100</v>
      </c>
      <c r="K14" s="56">
        <f t="shared" si="2"/>
        <v>792176</v>
      </c>
      <c r="L14" s="61">
        <f>+(J14+K14)*$C$13</f>
        <v>11486552</v>
      </c>
      <c r="M14" s="59">
        <v>6095283</v>
      </c>
      <c r="N14" s="56">
        <f t="shared" si="3"/>
        <v>975245.28</v>
      </c>
      <c r="O14" s="57">
        <f t="shared" si="4"/>
        <v>14141056.560000001</v>
      </c>
    </row>
    <row r="15" spans="1:15" s="44" customFormat="1" ht="15">
      <c r="A15" s="89" t="s">
        <v>41</v>
      </c>
      <c r="B15" s="90"/>
      <c r="C15" s="63">
        <v>2</v>
      </c>
      <c r="D15" s="59">
        <v>35892875</v>
      </c>
      <c r="E15" s="60">
        <f t="shared" si="0"/>
        <v>5742860</v>
      </c>
      <c r="F15" s="61">
        <f t="shared" si="5"/>
        <v>83271470</v>
      </c>
      <c r="G15" s="59">
        <v>30941030</v>
      </c>
      <c r="H15" s="56">
        <f t="shared" si="1"/>
        <v>4950564.8</v>
      </c>
      <c r="I15" s="61">
        <f t="shared" si="6"/>
        <v>71783189.599999994</v>
      </c>
      <c r="J15" s="59">
        <v>37675000</v>
      </c>
      <c r="K15" s="56">
        <f t="shared" si="2"/>
        <v>6028000</v>
      </c>
      <c r="L15" s="61">
        <f>+(J15+K15)*C15</f>
        <v>87406000</v>
      </c>
      <c r="M15" s="59">
        <v>32789678</v>
      </c>
      <c r="N15" s="56">
        <f t="shared" si="3"/>
        <v>5246348.4800000004</v>
      </c>
      <c r="O15" s="57">
        <f t="shared" si="4"/>
        <v>76072052.960000008</v>
      </c>
    </row>
    <row r="16" spans="1:15" s="44" customFormat="1" ht="15">
      <c r="A16" s="89" t="s">
        <v>42</v>
      </c>
      <c r="B16" s="90"/>
      <c r="C16" s="63">
        <v>4</v>
      </c>
      <c r="D16" s="59">
        <v>1098375</v>
      </c>
      <c r="E16" s="60">
        <f t="shared" si="0"/>
        <v>175740</v>
      </c>
      <c r="F16" s="61">
        <f t="shared" si="5"/>
        <v>5096460</v>
      </c>
      <c r="G16" s="59">
        <v>915066</v>
      </c>
      <c r="H16" s="56">
        <f t="shared" si="1"/>
        <v>146410.56</v>
      </c>
      <c r="I16" s="61">
        <f t="shared" si="6"/>
        <v>4245906.24</v>
      </c>
      <c r="J16" s="59">
        <v>620900</v>
      </c>
      <c r="K16" s="56">
        <f t="shared" si="2"/>
        <v>99344</v>
      </c>
      <c r="L16" s="61">
        <f t="shared" ref="L16:L22" si="7">+(J16+K16)*C16</f>
        <v>2880976</v>
      </c>
      <c r="M16" s="59">
        <v>783843</v>
      </c>
      <c r="N16" s="56">
        <f t="shared" si="3"/>
        <v>125414.88</v>
      </c>
      <c r="O16" s="57">
        <f t="shared" si="4"/>
        <v>3637031.52</v>
      </c>
    </row>
    <row r="17" spans="1:15" s="44" customFormat="1" ht="15">
      <c r="A17" s="89" t="s">
        <v>43</v>
      </c>
      <c r="B17" s="90"/>
      <c r="C17" s="63">
        <v>3</v>
      </c>
      <c r="D17" s="59">
        <v>820625</v>
      </c>
      <c r="E17" s="60">
        <f t="shared" si="0"/>
        <v>131300</v>
      </c>
      <c r="F17" s="61">
        <f>+(D17+E17)*C17</f>
        <v>2855775</v>
      </c>
      <c r="G17" s="59">
        <v>416000</v>
      </c>
      <c r="H17" s="56">
        <f t="shared" si="1"/>
        <v>66560</v>
      </c>
      <c r="I17" s="61">
        <f t="shared" si="6"/>
        <v>1447680</v>
      </c>
      <c r="J17" s="59">
        <v>1108200</v>
      </c>
      <c r="K17" s="56">
        <f t="shared" si="2"/>
        <v>177312</v>
      </c>
      <c r="L17" s="61">
        <f t="shared" si="7"/>
        <v>3856536</v>
      </c>
      <c r="M17" s="59">
        <v>1872956</v>
      </c>
      <c r="N17" s="56">
        <f t="shared" si="3"/>
        <v>299672.96000000002</v>
      </c>
      <c r="O17" s="57">
        <f t="shared" si="4"/>
        <v>6517886.8799999999</v>
      </c>
    </row>
    <row r="18" spans="1:15" s="44" customFormat="1" ht="15">
      <c r="A18" s="89" t="s">
        <v>44</v>
      </c>
      <c r="B18" s="90"/>
      <c r="C18" s="63">
        <v>2</v>
      </c>
      <c r="D18" s="59">
        <v>4570250</v>
      </c>
      <c r="E18" s="60">
        <f t="shared" si="0"/>
        <v>731240</v>
      </c>
      <c r="F18" s="61">
        <f>+(D18+E18)*C18</f>
        <v>10602980</v>
      </c>
      <c r="G18" s="59">
        <v>19117000</v>
      </c>
      <c r="H18" s="56">
        <f t="shared" si="1"/>
        <v>3058720</v>
      </c>
      <c r="I18" s="61">
        <f t="shared" si="6"/>
        <v>44351440</v>
      </c>
      <c r="J18" s="59">
        <v>4452800</v>
      </c>
      <c r="K18" s="56">
        <f t="shared" si="2"/>
        <v>712448</v>
      </c>
      <c r="L18" s="61">
        <f t="shared" si="7"/>
        <v>10330496</v>
      </c>
      <c r="M18" s="59">
        <v>3743110</v>
      </c>
      <c r="N18" s="56">
        <f t="shared" si="3"/>
        <v>598897.6</v>
      </c>
      <c r="O18" s="57">
        <f t="shared" si="4"/>
        <v>8684015.1999999993</v>
      </c>
    </row>
    <row r="19" spans="1:15" s="44" customFormat="1" ht="15">
      <c r="A19" s="89" t="s">
        <v>45</v>
      </c>
      <c r="B19" s="90"/>
      <c r="C19" s="63">
        <v>1</v>
      </c>
      <c r="D19" s="59">
        <v>340875</v>
      </c>
      <c r="E19" s="60">
        <f t="shared" si="0"/>
        <v>54540</v>
      </c>
      <c r="F19" s="61">
        <f>+(D19+E19)*C19</f>
        <v>395415</v>
      </c>
      <c r="G19" s="59">
        <v>380468</v>
      </c>
      <c r="H19" s="56">
        <f t="shared" si="1"/>
        <v>60874.880000000005</v>
      </c>
      <c r="I19" s="61">
        <f t="shared" si="6"/>
        <v>441342.88</v>
      </c>
      <c r="J19" s="59">
        <v>312000</v>
      </c>
      <c r="K19" s="56">
        <f t="shared" si="2"/>
        <v>49920</v>
      </c>
      <c r="L19" s="61">
        <f t="shared" si="7"/>
        <v>361920</v>
      </c>
      <c r="M19" s="59">
        <v>286074</v>
      </c>
      <c r="N19" s="56">
        <f t="shared" si="3"/>
        <v>45771.840000000004</v>
      </c>
      <c r="O19" s="57">
        <f t="shared" si="4"/>
        <v>331845.84000000003</v>
      </c>
    </row>
    <row r="20" spans="1:15" s="44" customFormat="1" ht="15">
      <c r="A20" s="89" t="s">
        <v>46</v>
      </c>
      <c r="B20" s="90"/>
      <c r="C20" s="63">
        <v>1</v>
      </c>
      <c r="D20" s="59">
        <v>970800</v>
      </c>
      <c r="E20" s="60">
        <f t="shared" si="0"/>
        <v>155328</v>
      </c>
      <c r="F20" s="61">
        <f>+(D20+E20)*C20</f>
        <v>1126128</v>
      </c>
      <c r="G20" s="59">
        <v>1648406</v>
      </c>
      <c r="H20" s="56">
        <f t="shared" si="1"/>
        <v>263744.96000000002</v>
      </c>
      <c r="I20" s="61">
        <f>+G20+H20*C20</f>
        <v>1912150.96</v>
      </c>
      <c r="J20" s="59">
        <v>2120600</v>
      </c>
      <c r="K20" s="56">
        <f t="shared" si="2"/>
        <v>339296</v>
      </c>
      <c r="L20" s="61">
        <f t="shared" si="7"/>
        <v>2459896</v>
      </c>
      <c r="M20" s="59">
        <v>1249397</v>
      </c>
      <c r="N20" s="56">
        <f t="shared" si="3"/>
        <v>199903.52000000002</v>
      </c>
      <c r="O20" s="57">
        <f t="shared" si="4"/>
        <v>1449300.52</v>
      </c>
    </row>
    <row r="21" spans="1:15" s="44" customFormat="1" ht="15">
      <c r="A21" s="89" t="s">
        <v>47</v>
      </c>
      <c r="B21" s="90"/>
      <c r="C21" s="63">
        <v>2</v>
      </c>
      <c r="D21" s="59">
        <v>5679600</v>
      </c>
      <c r="E21" s="60">
        <f t="shared" si="0"/>
        <v>908736</v>
      </c>
      <c r="F21" s="61">
        <f>+(D21+E21)*C21</f>
        <v>13176672</v>
      </c>
      <c r="G21" s="59">
        <v>2272162</v>
      </c>
      <c r="H21" s="56">
        <f t="shared" si="1"/>
        <v>363545.92</v>
      </c>
      <c r="I21" s="61">
        <f t="shared" si="6"/>
        <v>5271415.84</v>
      </c>
      <c r="J21" s="59">
        <v>1928550</v>
      </c>
      <c r="K21" s="56">
        <f t="shared" si="2"/>
        <v>308568</v>
      </c>
      <c r="L21" s="61">
        <f t="shared" si="7"/>
        <v>4474236</v>
      </c>
      <c r="M21" s="59">
        <v>3832355</v>
      </c>
      <c r="N21" s="56">
        <f t="shared" si="3"/>
        <v>613176.80000000005</v>
      </c>
      <c r="O21" s="57">
        <f t="shared" si="4"/>
        <v>8891063.5999999996</v>
      </c>
    </row>
    <row r="22" spans="1:15" s="44" customFormat="1" ht="15.75" thickBot="1">
      <c r="A22" s="91" t="s">
        <v>48</v>
      </c>
      <c r="B22" s="92"/>
      <c r="C22" s="64">
        <v>9</v>
      </c>
      <c r="D22" s="65">
        <v>561600</v>
      </c>
      <c r="E22" s="66">
        <f t="shared" si="0"/>
        <v>89856</v>
      </c>
      <c r="F22" s="67">
        <f t="shared" si="5"/>
        <v>5863104</v>
      </c>
      <c r="G22" s="65">
        <v>588182</v>
      </c>
      <c r="H22" s="68">
        <f t="shared" si="1"/>
        <v>94109.119999999995</v>
      </c>
      <c r="I22" s="67">
        <f t="shared" si="6"/>
        <v>6140620.0800000001</v>
      </c>
      <c r="J22" s="65">
        <v>406000</v>
      </c>
      <c r="K22" s="68">
        <f t="shared" si="2"/>
        <v>64960</v>
      </c>
      <c r="L22" s="61">
        <f t="shared" si="7"/>
        <v>4238640</v>
      </c>
      <c r="M22" s="65">
        <v>415925</v>
      </c>
      <c r="N22" s="56">
        <f t="shared" si="3"/>
        <v>66548</v>
      </c>
      <c r="O22" s="57">
        <f t="shared" si="4"/>
        <v>4342257</v>
      </c>
    </row>
    <row r="23" spans="1:15" s="44" customFormat="1" ht="15.75" thickBot="1">
      <c r="A23" s="38"/>
      <c r="B23" s="39"/>
      <c r="C23" s="40"/>
      <c r="D23" s="41"/>
      <c r="E23" s="42"/>
      <c r="F23" s="69">
        <f>SUM(F9:F22)</f>
        <v>267584392</v>
      </c>
      <c r="G23" s="41"/>
      <c r="H23" s="42"/>
      <c r="I23" s="81">
        <f>SUM(I9:I22)</f>
        <v>242393827.36000001</v>
      </c>
      <c r="J23" s="41"/>
      <c r="K23" s="42"/>
      <c r="L23" s="70">
        <f>SUM(L9:L22)</f>
        <v>278426448</v>
      </c>
      <c r="M23" s="41"/>
      <c r="N23" s="42"/>
      <c r="O23" s="81">
        <f>SUM(O9:O22)</f>
        <v>266270964.60000002</v>
      </c>
    </row>
    <row r="24" spans="1:15" s="44" customFormat="1" ht="15">
      <c r="A24" s="38"/>
      <c r="B24" s="39"/>
      <c r="C24" s="40"/>
      <c r="D24" s="41"/>
      <c r="E24" s="42"/>
      <c r="F24" s="43"/>
      <c r="G24" s="41"/>
      <c r="H24" s="42"/>
      <c r="I24" s="43"/>
      <c r="J24" s="41"/>
      <c r="K24" s="42"/>
      <c r="L24" s="43"/>
      <c r="M24" s="41"/>
      <c r="N24" s="42"/>
      <c r="O24" s="43"/>
    </row>
    <row r="25" spans="1:15" s="44" customFormat="1">
      <c r="A25" s="71" t="s">
        <v>55</v>
      </c>
      <c r="B25" s="39"/>
      <c r="C25" s="40"/>
      <c r="D25" s="41"/>
      <c r="E25" s="42"/>
      <c r="F25" s="43"/>
      <c r="G25" s="41"/>
      <c r="H25" s="42"/>
      <c r="I25" s="43"/>
      <c r="J25" s="41"/>
      <c r="K25" s="42"/>
      <c r="L25" s="43"/>
      <c r="M25" s="41"/>
      <c r="N25" s="42"/>
      <c r="O25" s="43"/>
    </row>
    <row r="26" spans="1:15" s="44" customFormat="1" ht="15">
      <c r="A26" s="38"/>
      <c r="B26" s="39"/>
      <c r="C26" s="40"/>
      <c r="D26" s="41"/>
      <c r="E26" s="42"/>
      <c r="F26" s="43"/>
      <c r="G26" s="41"/>
      <c r="H26" s="42"/>
      <c r="I26" s="43"/>
      <c r="J26" s="41"/>
      <c r="K26" s="42"/>
      <c r="L26" s="43"/>
      <c r="M26" s="41"/>
      <c r="N26" s="42"/>
      <c r="O26" s="43"/>
    </row>
    <row r="27" spans="1:15" s="44" customFormat="1" ht="15.75" thickBot="1">
      <c r="A27" s="38"/>
      <c r="B27" s="39"/>
      <c r="C27" s="40"/>
      <c r="D27" s="41"/>
      <c r="E27" s="42"/>
      <c r="F27" s="43"/>
      <c r="G27" s="41"/>
      <c r="H27" s="42"/>
      <c r="I27" s="43"/>
      <c r="J27" s="41"/>
      <c r="K27" s="42"/>
      <c r="L27" s="43"/>
      <c r="M27" s="41"/>
      <c r="N27" s="42"/>
      <c r="O27" s="43"/>
    </row>
    <row r="28" spans="1:15" s="44" customFormat="1" ht="15.75" thickBot="1">
      <c r="A28" s="75" t="s">
        <v>57</v>
      </c>
      <c r="B28" s="76" t="s">
        <v>56</v>
      </c>
      <c r="C28" s="77" t="s">
        <v>55</v>
      </c>
      <c r="D28" s="41"/>
      <c r="E28" s="42"/>
      <c r="F28" s="43"/>
      <c r="G28" s="41"/>
      <c r="H28" s="42"/>
      <c r="I28" s="43"/>
      <c r="J28" s="41"/>
      <c r="K28" s="42"/>
      <c r="L28" s="43"/>
      <c r="M28" s="41"/>
      <c r="N28" s="42"/>
      <c r="O28" s="43"/>
    </row>
    <row r="29" spans="1:15" s="44" customFormat="1" ht="15.75" thickBot="1">
      <c r="A29" s="72" t="s">
        <v>54</v>
      </c>
      <c r="B29" s="73">
        <f>+O23</f>
        <v>266270964.60000002</v>
      </c>
      <c r="C29" s="74">
        <v>900</v>
      </c>
      <c r="D29" s="41"/>
      <c r="E29" s="42"/>
      <c r="F29" s="43"/>
      <c r="G29" s="41"/>
      <c r="H29" s="42"/>
      <c r="I29" s="43"/>
      <c r="J29" s="41"/>
      <c r="K29" s="42"/>
      <c r="L29" s="43"/>
      <c r="M29" s="41"/>
      <c r="N29" s="42"/>
      <c r="O29" s="43"/>
    </row>
    <row r="31" spans="1:15" ht="28.5" customHeight="1">
      <c r="A31" s="88" t="s">
        <v>66</v>
      </c>
      <c r="B31" s="88"/>
      <c r="C31" s="88"/>
      <c r="D31" s="82"/>
      <c r="E31" s="82"/>
      <c r="F31" s="82"/>
      <c r="G31" s="82"/>
      <c r="H31" s="82"/>
      <c r="I31" s="82"/>
    </row>
    <row r="32" spans="1:15" ht="35.25" customHeight="1">
      <c r="A32" s="88"/>
      <c r="B32" s="88"/>
      <c r="C32" s="88"/>
      <c r="D32" s="82"/>
      <c r="E32" s="82"/>
      <c r="F32" s="82"/>
      <c r="G32" s="82"/>
      <c r="H32" s="82"/>
      <c r="I32" s="82"/>
    </row>
  </sheetData>
  <mergeCells count="22">
    <mergeCell ref="A2:O2"/>
    <mergeCell ref="A1:O1"/>
    <mergeCell ref="M7:O7"/>
    <mergeCell ref="J7:L7"/>
    <mergeCell ref="A15:B15"/>
    <mergeCell ref="C9:C10"/>
    <mergeCell ref="C11:C12"/>
    <mergeCell ref="G7:I7"/>
    <mergeCell ref="A19:B19"/>
    <mergeCell ref="A20:B20"/>
    <mergeCell ref="A16:B16"/>
    <mergeCell ref="A17:B17"/>
    <mergeCell ref="A18:B18"/>
    <mergeCell ref="A9:A10"/>
    <mergeCell ref="A11:A12"/>
    <mergeCell ref="A13:B13"/>
    <mergeCell ref="A14:B14"/>
    <mergeCell ref="A31:C32"/>
    <mergeCell ref="A21:B21"/>
    <mergeCell ref="A22:B22"/>
    <mergeCell ref="A8:B8"/>
    <mergeCell ref="D7:F7"/>
  </mergeCells>
  <pageMargins left="0.70866141732283472" right="0.70866141732283472" top="0.74803149606299213" bottom="0.74803149606299213" header="0.31496062992125984" footer="0.31496062992125984"/>
  <pageSetup paperSize="522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FINANCIERA</vt:lpstr>
      <vt:lpstr>Hoja1</vt:lpstr>
      <vt:lpstr>FINANCIERA!Área_de_impresión</vt:lpstr>
      <vt:lpstr>Hoja1!Área_de_impresión</vt:lpstr>
    </vt:vector>
  </TitlesOfParts>
  <Company>SEÑAL COLOMBIA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pocampo</dc:creator>
  <cp:lastModifiedBy>HRICARDO</cp:lastModifiedBy>
  <cp:lastPrinted>2013-12-11T22:05:23Z</cp:lastPrinted>
  <dcterms:created xsi:type="dcterms:W3CDTF">2013-11-18T13:24:45Z</dcterms:created>
  <dcterms:modified xsi:type="dcterms:W3CDTF">2013-12-12T20:13:03Z</dcterms:modified>
</cp:coreProperties>
</file>