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30" windowHeight="6555"/>
  </bookViews>
  <sheets>
    <sheet name="evaluacion " sheetId="4" r:id="rId1"/>
  </sheets>
  <calcPr calcId="145621"/>
</workbook>
</file>

<file path=xl/calcChain.xml><?xml version="1.0" encoding="utf-8"?>
<calcChain xmlns="http://schemas.openxmlformats.org/spreadsheetml/2006/main">
  <c r="D43" i="4" l="1"/>
  <c r="D39" i="4"/>
  <c r="D37" i="4"/>
  <c r="D41" i="4"/>
  <c r="C43" i="4"/>
  <c r="C39" i="4"/>
  <c r="C37" i="4"/>
  <c r="C41" i="4"/>
  <c r="I43" i="4"/>
  <c r="I39" i="4"/>
  <c r="H37" i="4"/>
  <c r="J37" i="4"/>
  <c r="I37" i="4"/>
  <c r="H43" i="4"/>
  <c r="J43" i="4"/>
  <c r="H41" i="4"/>
  <c r="H39" i="4"/>
  <c r="F43" i="4"/>
  <c r="G43" i="4"/>
  <c r="F41" i="4"/>
  <c r="F39" i="4"/>
  <c r="I41" i="4"/>
  <c r="J41" i="4"/>
  <c r="E43" i="4"/>
  <c r="E41" i="4"/>
  <c r="G41" i="4"/>
  <c r="E39" i="4"/>
  <c r="G39" i="4"/>
  <c r="F37" i="4"/>
  <c r="E37" i="4"/>
  <c r="G37" i="4"/>
  <c r="B37" i="4"/>
  <c r="B53" i="4"/>
  <c r="B52" i="4"/>
  <c r="J39" i="4"/>
  <c r="A64" i="4"/>
  <c r="B58" i="4"/>
  <c r="F57" i="4"/>
  <c r="B57" i="4"/>
  <c r="F56" i="4"/>
  <c r="B56" i="4"/>
  <c r="F55" i="4"/>
  <c r="B55" i="4"/>
  <c r="F54" i="4"/>
  <c r="F58" i="4"/>
  <c r="B54" i="4"/>
  <c r="F53" i="4"/>
  <c r="F52" i="4"/>
  <c r="B43" i="4"/>
  <c r="B41" i="4"/>
  <c r="B39" i="4"/>
</calcChain>
</file>

<file path=xl/sharedStrings.xml><?xml version="1.0" encoding="utf-8"?>
<sst xmlns="http://schemas.openxmlformats.org/spreadsheetml/2006/main" count="271" uniqueCount="99">
  <si>
    <t>Radio Televisión Nacional de Colombia, RTVC, contratará integralmente la Adquisición, Instalación y Puesta en Funcionamiento de los Sistemas de Transmisión de Televisión Digital Terrestre - TDT para las estaciones de Cerro Neiva, Gabinete, La Pita, Montería, Planadas y Simón Bolívar, en el estándar DVB-T2, así como los sistemas eléctricos y las obras civiles requeridos para tal fin</t>
  </si>
  <si>
    <t xml:space="preserve">INVITACIÓN ABIERTA No. 02 DE 2014 </t>
  </si>
  <si>
    <t>OFERENTES COLOMBIANOS O EXTRANJEROS CON SUCURSAL EN COLOMBIA</t>
  </si>
  <si>
    <t>a) Estados financieros comparativos auditados a 31 de diciembre de 2013 y 2012 (Balance General y Estado de Pérdidas y Ganancias) especificando el activo corriente, activo fijo, pasivo corriente y pasivo a largo plazo, firmados por el proponente persona natural o por el Representante Legal de la persona jurídica y el contador o Revisor Fiscal de la empresa si está obligado a tener.</t>
  </si>
  <si>
    <t>b) Notas a los Estados Financieros según Artículo 36 Ley 222/95.</t>
  </si>
  <si>
    <t>c) Certificación de los Estados Financieros según Artículo 37 Ley 222/95.</t>
  </si>
  <si>
    <t>d) Certificados de vigencia y Antecedentes Disciplinarios del contador y/o del revisor fiscal, expedidos por la Junta Central de Contadores, con fecha no mayor a noventa (90) días calendario, anteriores a la fecha del presente proceso de contratación.</t>
  </si>
  <si>
    <t>OFERENTES EXTRANJEROS SIN SUCURSAL EN COLOMBIA</t>
  </si>
  <si>
    <t>a) Balance general, estado de resultados, así como las notas a los estados financieros, comparativos con corte a 31 de diciembre de 2013 y diciembre 31 de 2012 de acuerdo con lo establecido en las leyes y normas del respectivo país.</t>
  </si>
  <si>
    <t>b) Los estados financieros del proponente extranjero deben venir firmados por el representante legal y el contador de la firma extranjera.</t>
  </si>
  <si>
    <t>c) Los estados financieros deben estar acompañados de la traducción oficial al castellano, expresados en pesos colombianos, a la tasa representativa del mercado TRM de la fecha de cierre de los mismos, indicando la tasa de conversión.</t>
  </si>
  <si>
    <t>d) Así mismo la traducción oficial de los balances estarán discriminados de la siguiente manera:</t>
  </si>
  <si>
    <t>• ACTIVOS: Corriente, no corriente y total</t>
  </si>
  <si>
    <t>• PASIVOS: Corriente, no corriente, total</t>
  </si>
  <si>
    <t>• PATRIMONIO</t>
  </si>
  <si>
    <t>e) Dictamen de Auditoría Externa del país del proponente, de los estados financieros y solo se aceptará “dictamen limpio”.</t>
  </si>
  <si>
    <t>f) El dictamen a los estados financieros vendrá con traducción oficial al español.</t>
  </si>
  <si>
    <t>g) Se entiende por dictamen limpio aquel en el que se declara que los estados financieros presentan razonablemente en todos los aspectos significativos, los resultados de operaciones y principios de contabilidad generalmente aceptados.</t>
  </si>
  <si>
    <t>Para Oferentes Extranjeros se aceptarán estados financieros a 31 de diciembre 2013 sin auditar, siempre y cuando certifiquen que en el país de origen no se ha vencido el plazo para presentar estados financieros definitivos auditados o que su periodo de cierre fiscal sea diferente a diciembre 31. En estos casos, las certificaciones y los estados financieros deben venir suscritos por el Representante Legal y por el Contador</t>
  </si>
  <si>
    <t>INDICADORES</t>
  </si>
  <si>
    <t>a) Razón de Liquidez ≥ 1.0</t>
  </si>
  <si>
    <t>b) Nivel de Endeudamiento ≤ 70%</t>
  </si>
  <si>
    <t>c) Capital de Trabajo ≥ 10% del Presupuesto Oficial</t>
  </si>
  <si>
    <t>d) Patrimonio ≥ 10% del Presupuesto Oficial</t>
  </si>
  <si>
    <t>ACTIVO CORRIENTE/ PASIVO CORRIENTE</t>
  </si>
  <si>
    <t>ACTIVO CORRIENTE- PASIVO CORRIENTE</t>
  </si>
  <si>
    <t>TOTAL ACTIVO - TOTAL PASIVO</t>
  </si>
  <si>
    <t>PRESUPUESTO</t>
  </si>
  <si>
    <t>ITALTELEC S.P.A APODERADO COMPAÑÍA COMERCIAL CURACAO DE COLOMBIA S.A</t>
  </si>
  <si>
    <t>* Balance general</t>
  </si>
  <si>
    <t>*Notas a los estados financieros.</t>
  </si>
  <si>
    <t>BROAD TELECOM, S.A. (BTSA)
Apoderado
 Ernesto Matallana Camacho</t>
  </si>
  <si>
    <t>FOLIO 80-125</t>
  </si>
  <si>
    <t>* Estado de resultados</t>
  </si>
  <si>
    <t xml:space="preserve">UNION TEMPORAL ISTRONYC SyE.S COLOMBIA </t>
  </si>
  <si>
    <t>ISTRONYC COMUNICACIONES S.A.S
70%</t>
  </si>
  <si>
    <t>SYSTEM ENGINEERING SOLUTIONS Sy E.S,
30%</t>
  </si>
  <si>
    <t>FOLIO 95</t>
  </si>
  <si>
    <t>SI</t>
  </si>
  <si>
    <t>FOLIO 105</t>
  </si>
  <si>
    <t>FOLIO 106</t>
  </si>
  <si>
    <t>N/A</t>
  </si>
  <si>
    <t>FOLI 107-149 156,</t>
  </si>
  <si>
    <t>UNION TEMPORAL 
RSCO - RSES TDT 2</t>
  </si>
  <si>
    <t xml:space="preserve">BROAD TELECOM, S.A. (BTSA)
</t>
  </si>
  <si>
    <t>Apoderado
 Ernesto Matallana Camacho</t>
  </si>
  <si>
    <t>APODERADO COMPAÑÍA COMERCIAL CURACAO DE COLOMBIA S.A</t>
  </si>
  <si>
    <t xml:space="preserve">ITALTELEC S.P.A </t>
  </si>
  <si>
    <t>Tarjeta Profesional del ContadorPúblico y del Revisor Fiscal, de requerirse, o del auditor independiente que los hubiera examinado, y que la suscriben, certifican y dictaminan, con sus respectivos certificados de vigencia de inscripción y de antecedentes disciplinarios,</t>
  </si>
  <si>
    <t>En el caso de Proponentes de origen extranjero, la información contable y financiera debe haber sido preparada con sujeción a las “International Financial Reporting Standards –IFRSs” adoptados por la Comisión Europea (“European Commission”), a las “International Financial reporting Standards – IFRSs” en general o a los “Generally Accepted Accounting Principles –US GAAP”, según el país de origen de la persona jurídica de que se trate. Se debe certificar en el informe del revisor fiscal o quien haga sus veces.</t>
  </si>
  <si>
    <t>Nota: Los oferentes extranjeros con sucursal en Colombia que a la fecha de cierre del presente proceso de selección cuenten con menos de un (1) año de constituida, podrán presentar los estados financieros de su casa matriz y para estos efectos deberán presentar la información financiera solicitada para los Oferentes Extranjeros Sin Sucursal en Colombia.</t>
  </si>
  <si>
    <t>ROHDE &amp; SCHWARZ COLOMBIA S.A
90%</t>
  </si>
  <si>
    <t>ROHDE &amp; SCHWARZ ESPAÑA S.A SUCURSAL COLOMBIA
10%</t>
  </si>
  <si>
    <t>FOLIO188-196</t>
  </si>
  <si>
    <t>FOLIO 197</t>
  </si>
  <si>
    <t>FOLIO 201-203</t>
  </si>
  <si>
    <t>FOLIO  202 204</t>
  </si>
  <si>
    <t>FOLIO 205-206</t>
  </si>
  <si>
    <t>FOLIO 241</t>
  </si>
  <si>
    <t>FOLIO 242</t>
  </si>
  <si>
    <t>FOLIO 94</t>
  </si>
  <si>
    <t>TASA DE CONVERSION</t>
  </si>
  <si>
    <t>FOLIO 256</t>
  </si>
  <si>
    <t>FOLIO 240</t>
  </si>
  <si>
    <t>CERTIFICACION A FOLIOS  72</t>
  </si>
  <si>
    <t xml:space="preserve">MIER COMUNICACIONES S.A
</t>
  </si>
  <si>
    <t>Apoderado
 Francisco Castro Córdoba</t>
  </si>
  <si>
    <t>MIER COMUNICACIONES S.A
Apoderado
 Francisco Castro Córdoba</t>
  </si>
  <si>
    <t>FOLIO 98</t>
  </si>
  <si>
    <t>TOTAL</t>
  </si>
  <si>
    <t>• ACTIVOS: Corriente</t>
  </si>
  <si>
    <t xml:space="preserve">• ACTIVOS: No corriente </t>
  </si>
  <si>
    <t>• ACTIVOS: Total</t>
  </si>
  <si>
    <t>• PASIVOS: Corriente</t>
  </si>
  <si>
    <t>• PASIVOS: No corriente</t>
  </si>
  <si>
    <t>• PASIVOS: Total</t>
  </si>
  <si>
    <t>REVISIÓN DE DATOS 2013 (TRM)</t>
  </si>
  <si>
    <t>PASIVO TOTAL / ACTIVO TOTAL</t>
  </si>
  <si>
    <t>CUMPLE</t>
  </si>
  <si>
    <t>EURO A DÓLAR</t>
  </si>
  <si>
    <t>DÓLAR A PESO</t>
  </si>
  <si>
    <t>X</t>
  </si>
  <si>
    <t>FOLIO 157-TRM ( FOLIO 89,167)</t>
  </si>
  <si>
    <t>(No) aportó notas a estados financieros 2013
(SI )Aportó año 2012 en los( FOLIOS 131-148)</t>
  </si>
  <si>
    <t>FOLIOS 66-73</t>
  </si>
  <si>
    <t>FOLIOS 96-98</t>
  </si>
  <si>
    <t>FOLIOS 86-92</t>
  </si>
  <si>
    <t>FOLIOS 80-82</t>
  </si>
  <si>
    <t>FOLIOS 99-170</t>
  </si>
  <si>
    <t>FOLIOS 104B</t>
  </si>
  <si>
    <t>FOLIOS 99-102B</t>
  </si>
  <si>
    <t>FOLIO 149D 149E, 201F</t>
  </si>
  <si>
    <t>x</t>
  </si>
  <si>
    <t>BROAD TELECOM, S.A. (BTSA)</t>
  </si>
  <si>
    <t>SI
( Aportado mediante requerimiento)</t>
  </si>
  <si>
    <t>VERIFICACION DE VALORES</t>
  </si>
  <si>
    <t>NO CUMPLE</t>
  </si>
  <si>
    <t>MIER COMUNICACIONES S.A</t>
  </si>
  <si>
    <t>(Si) Aportó notas a los Estados financieros mediante requerimiento y mediante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</si>
</sst>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5" fontId="4" fillId="0" borderId="0" xfId="2" applyFont="1"/>
    <xf numFmtId="167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66" fontId="2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166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2" fillId="0" borderId="0" xfId="1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1" xfId="1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2" fillId="0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2" fillId="3" borderId="1" xfId="3" applyFont="1" applyFill="1" applyBorder="1" applyAlignment="1">
      <alignment horizontal="center" vertical="center"/>
    </xf>
    <xf numFmtId="10" fontId="2" fillId="3" borderId="1" xfId="3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166" fontId="2" fillId="3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="90" zoomScaleNormal="90" workbookViewId="0">
      <selection activeCell="E41" sqref="E41"/>
    </sheetView>
  </sheetViews>
  <sheetFormatPr baseColWidth="10" defaultColWidth="11.42578125" defaultRowHeight="16.5" x14ac:dyDescent="0.3"/>
  <cols>
    <col min="1" max="1" width="67.7109375" style="1" bestFit="1" customWidth="1"/>
    <col min="2" max="2" width="29.7109375" style="2" customWidth="1"/>
    <col min="3" max="3" width="36.7109375" style="1" bestFit="1" customWidth="1"/>
    <col min="4" max="4" width="36.5703125" style="2" customWidth="1"/>
    <col min="5" max="5" width="29.28515625" style="2" customWidth="1"/>
    <col min="6" max="6" width="18.85546875" style="2" bestFit="1" customWidth="1"/>
    <col min="7" max="7" width="17" style="2" bestFit="1" customWidth="1"/>
    <col min="8" max="8" width="20.5703125" style="2" customWidth="1"/>
    <col min="9" max="9" width="29.42578125" style="2" customWidth="1"/>
    <col min="10" max="10" width="18.85546875" style="1" customWidth="1"/>
    <col min="11" max="11" width="29.5703125" style="1" customWidth="1"/>
    <col min="12" max="16384" width="11.42578125" style="22"/>
  </cols>
  <sheetData>
    <row r="1" spans="1:13" s="1" customFormat="1" ht="18.75" x14ac:dyDescent="0.3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39"/>
      <c r="K1" s="39"/>
      <c r="L1" s="39"/>
    </row>
    <row r="2" spans="1:13" s="1" customFormat="1" ht="18" x14ac:dyDescent="0.35">
      <c r="A2" s="68"/>
      <c r="B2" s="69"/>
      <c r="C2" s="68"/>
      <c r="D2" s="69"/>
      <c r="E2" s="69"/>
      <c r="F2" s="69"/>
      <c r="G2" s="69"/>
      <c r="H2" s="69"/>
      <c r="I2" s="69"/>
    </row>
    <row r="3" spans="1:13" s="1" customFormat="1" ht="54" customHeight="1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40"/>
      <c r="K3" s="40"/>
      <c r="L3" s="40"/>
      <c r="M3" s="40"/>
    </row>
    <row r="4" spans="1:13" s="1" customFormat="1" ht="13.9" x14ac:dyDescent="0.25">
      <c r="B4" s="2"/>
      <c r="D4" s="2"/>
      <c r="E4" s="2"/>
      <c r="F4" s="2"/>
      <c r="G4" s="2"/>
      <c r="H4" s="2"/>
      <c r="I4" s="2"/>
    </row>
    <row r="5" spans="1:13" s="1" customFormat="1" ht="13.9" x14ac:dyDescent="0.25">
      <c r="B5" s="2"/>
      <c r="D5" s="2"/>
      <c r="E5" s="2"/>
      <c r="F5" s="2"/>
      <c r="G5" s="2"/>
      <c r="H5" s="2"/>
      <c r="I5" s="2"/>
    </row>
    <row r="6" spans="1:13" s="1" customFormat="1" ht="13.9" x14ac:dyDescent="0.25">
      <c r="B6" s="2"/>
      <c r="D6" s="2"/>
      <c r="E6" s="2"/>
      <c r="F6" s="2"/>
      <c r="G6" s="2"/>
      <c r="H6" s="2"/>
      <c r="I6" s="2"/>
    </row>
    <row r="7" spans="1:13" s="1" customFormat="1" x14ac:dyDescent="0.3">
      <c r="A7" s="93" t="s">
        <v>2</v>
      </c>
      <c r="B7" s="70" t="s">
        <v>93</v>
      </c>
      <c r="C7" s="60" t="s">
        <v>97</v>
      </c>
      <c r="D7" s="60" t="s">
        <v>47</v>
      </c>
      <c r="E7" s="96" t="s">
        <v>34</v>
      </c>
      <c r="F7" s="96"/>
      <c r="G7" s="96"/>
      <c r="H7" s="73" t="s">
        <v>43</v>
      </c>
      <c r="I7" s="74"/>
    </row>
    <row r="8" spans="1:13" s="17" customFormat="1" ht="40.5" x14ac:dyDescent="0.25">
      <c r="A8" s="94"/>
      <c r="B8" s="49" t="s">
        <v>45</v>
      </c>
      <c r="C8" s="49" t="s">
        <v>66</v>
      </c>
      <c r="D8" s="53" t="s">
        <v>46</v>
      </c>
      <c r="E8" s="61" t="s">
        <v>35</v>
      </c>
      <c r="F8" s="77" t="s">
        <v>36</v>
      </c>
      <c r="G8" s="77"/>
      <c r="H8" s="62" t="s">
        <v>51</v>
      </c>
      <c r="I8" s="49" t="s">
        <v>52</v>
      </c>
    </row>
    <row r="9" spans="1:13" s="1" customFormat="1" ht="82.5" x14ac:dyDescent="0.3">
      <c r="A9" s="11" t="s">
        <v>3</v>
      </c>
      <c r="B9" s="12" t="s">
        <v>41</v>
      </c>
      <c r="C9" s="12" t="s">
        <v>41</v>
      </c>
      <c r="D9" s="12" t="s">
        <v>41</v>
      </c>
      <c r="E9" s="58" t="s">
        <v>87</v>
      </c>
      <c r="F9" s="71" t="s">
        <v>41</v>
      </c>
      <c r="G9" s="71"/>
      <c r="H9" s="59" t="s">
        <v>57</v>
      </c>
      <c r="I9" s="12" t="s">
        <v>41</v>
      </c>
    </row>
    <row r="10" spans="1:13" s="1" customFormat="1" x14ac:dyDescent="0.3">
      <c r="A10" s="11" t="s">
        <v>4</v>
      </c>
      <c r="B10" s="12" t="s">
        <v>41</v>
      </c>
      <c r="C10" s="12" t="s">
        <v>41</v>
      </c>
      <c r="D10" s="12" t="s">
        <v>41</v>
      </c>
      <c r="E10" s="58" t="s">
        <v>86</v>
      </c>
      <c r="F10" s="71" t="s">
        <v>41</v>
      </c>
      <c r="G10" s="71"/>
      <c r="H10" s="59" t="s">
        <v>53</v>
      </c>
      <c r="I10" s="12" t="s">
        <v>41</v>
      </c>
    </row>
    <row r="11" spans="1:13" s="1" customFormat="1" x14ac:dyDescent="0.3">
      <c r="A11" s="11" t="s">
        <v>5</v>
      </c>
      <c r="B11" s="12" t="s">
        <v>41</v>
      </c>
      <c r="C11" s="12" t="s">
        <v>41</v>
      </c>
      <c r="D11" s="12" t="s">
        <v>41</v>
      </c>
      <c r="E11" s="58" t="s">
        <v>60</v>
      </c>
      <c r="F11" s="71" t="s">
        <v>41</v>
      </c>
      <c r="G11" s="71"/>
      <c r="H11" s="59" t="s">
        <v>54</v>
      </c>
      <c r="I11" s="12" t="s">
        <v>41</v>
      </c>
    </row>
    <row r="12" spans="1:13" s="1" customFormat="1" ht="66" x14ac:dyDescent="0.3">
      <c r="A12" s="9" t="s">
        <v>6</v>
      </c>
      <c r="B12" s="12" t="s">
        <v>41</v>
      </c>
      <c r="C12" s="12" t="s">
        <v>41</v>
      </c>
      <c r="D12" s="12" t="s">
        <v>41</v>
      </c>
      <c r="E12" s="58" t="s">
        <v>37</v>
      </c>
      <c r="F12" s="71" t="s">
        <v>41</v>
      </c>
      <c r="G12" s="71"/>
      <c r="H12" s="59" t="s">
        <v>55</v>
      </c>
      <c r="I12" s="12" t="s">
        <v>41</v>
      </c>
    </row>
    <row r="13" spans="1:13" s="1" customFormat="1" ht="66" x14ac:dyDescent="0.3">
      <c r="A13" s="11" t="s">
        <v>48</v>
      </c>
      <c r="B13" s="12" t="s">
        <v>41</v>
      </c>
      <c r="C13" s="12" t="s">
        <v>41</v>
      </c>
      <c r="D13" s="12" t="s">
        <v>41</v>
      </c>
      <c r="E13" s="58" t="s">
        <v>85</v>
      </c>
      <c r="F13" s="71" t="s">
        <v>41</v>
      </c>
      <c r="G13" s="71"/>
      <c r="H13" s="59" t="s">
        <v>56</v>
      </c>
      <c r="I13" s="12" t="s">
        <v>41</v>
      </c>
    </row>
    <row r="14" spans="1:13" s="1" customFormat="1" ht="13.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3" s="1" customFormat="1" ht="60" customHeight="1" x14ac:dyDescent="0.3">
      <c r="A15" s="65" t="s">
        <v>7</v>
      </c>
      <c r="B15" s="53" t="s">
        <v>31</v>
      </c>
      <c r="C15" s="53" t="s">
        <v>67</v>
      </c>
      <c r="D15" s="53" t="s">
        <v>28</v>
      </c>
      <c r="E15" s="61" t="s">
        <v>35</v>
      </c>
      <c r="F15" s="77" t="s">
        <v>36</v>
      </c>
      <c r="G15" s="77"/>
      <c r="H15" s="62" t="s">
        <v>51</v>
      </c>
      <c r="I15" s="49" t="s">
        <v>52</v>
      </c>
    </row>
    <row r="16" spans="1:13" s="1" customFormat="1" ht="49.5" x14ac:dyDescent="0.3">
      <c r="A16" s="9" t="s">
        <v>8</v>
      </c>
      <c r="B16" s="10" t="s">
        <v>94</v>
      </c>
      <c r="C16" s="10" t="s">
        <v>94</v>
      </c>
      <c r="D16" s="10" t="s">
        <v>94</v>
      </c>
      <c r="E16" s="58" t="s">
        <v>41</v>
      </c>
      <c r="F16" s="71" t="s">
        <v>38</v>
      </c>
      <c r="G16" s="71"/>
      <c r="H16" s="59" t="s">
        <v>41</v>
      </c>
      <c r="I16" s="12" t="s">
        <v>38</v>
      </c>
    </row>
    <row r="17" spans="1:10" s="1" customFormat="1" x14ac:dyDescent="0.3">
      <c r="A17" s="9" t="s">
        <v>29</v>
      </c>
      <c r="B17" s="10" t="s">
        <v>38</v>
      </c>
      <c r="C17" s="10" t="s">
        <v>38</v>
      </c>
      <c r="D17" s="12" t="s">
        <v>38</v>
      </c>
      <c r="E17" s="58" t="s">
        <v>41</v>
      </c>
      <c r="F17" s="71" t="s">
        <v>39</v>
      </c>
      <c r="G17" s="71"/>
      <c r="H17" s="59" t="s">
        <v>41</v>
      </c>
      <c r="I17" s="12" t="s">
        <v>58</v>
      </c>
    </row>
    <row r="18" spans="1:10" s="1" customFormat="1" x14ac:dyDescent="0.3">
      <c r="A18" s="9" t="s">
        <v>33</v>
      </c>
      <c r="B18" s="10" t="s">
        <v>38</v>
      </c>
      <c r="C18" s="10" t="s">
        <v>38</v>
      </c>
      <c r="D18" s="12" t="s">
        <v>38</v>
      </c>
      <c r="E18" s="58" t="s">
        <v>41</v>
      </c>
      <c r="F18" s="71" t="s">
        <v>40</v>
      </c>
      <c r="G18" s="71"/>
      <c r="H18" s="59" t="s">
        <v>41</v>
      </c>
      <c r="I18" s="12" t="s">
        <v>59</v>
      </c>
    </row>
    <row r="19" spans="1:10" s="1" customFormat="1" ht="66" x14ac:dyDescent="0.3">
      <c r="A19" s="11" t="s">
        <v>30</v>
      </c>
      <c r="B19" s="12" t="s">
        <v>32</v>
      </c>
      <c r="C19" s="67" t="s">
        <v>98</v>
      </c>
      <c r="D19" s="67" t="s">
        <v>83</v>
      </c>
      <c r="E19" s="58" t="s">
        <v>41</v>
      </c>
      <c r="F19" s="71" t="s">
        <v>42</v>
      </c>
      <c r="G19" s="71"/>
      <c r="H19" s="59" t="s">
        <v>41</v>
      </c>
      <c r="I19" s="41" t="s">
        <v>38</v>
      </c>
    </row>
    <row r="20" spans="1:10" s="1" customFormat="1" ht="33" x14ac:dyDescent="0.3">
      <c r="A20" s="11" t="s">
        <v>9</v>
      </c>
      <c r="B20" s="12" t="s">
        <v>38</v>
      </c>
      <c r="C20" s="12" t="s">
        <v>38</v>
      </c>
      <c r="D20" s="12" t="s">
        <v>38</v>
      </c>
      <c r="E20" s="58" t="s">
        <v>41</v>
      </c>
      <c r="F20" s="71" t="s">
        <v>38</v>
      </c>
      <c r="G20" s="71"/>
      <c r="H20" s="59" t="s">
        <v>41</v>
      </c>
      <c r="I20" s="12" t="s">
        <v>38</v>
      </c>
    </row>
    <row r="21" spans="1:10" s="1" customFormat="1" ht="54" customHeight="1" x14ac:dyDescent="0.3">
      <c r="A21" s="13" t="s">
        <v>10</v>
      </c>
      <c r="B21" s="12" t="s">
        <v>41</v>
      </c>
      <c r="C21" s="12" t="s">
        <v>38</v>
      </c>
      <c r="D21" s="10" t="s">
        <v>82</v>
      </c>
      <c r="E21" s="58" t="s">
        <v>41</v>
      </c>
      <c r="F21" s="71" t="s">
        <v>91</v>
      </c>
      <c r="G21" s="71"/>
      <c r="H21" s="59" t="s">
        <v>41</v>
      </c>
      <c r="I21" s="12" t="s">
        <v>61</v>
      </c>
    </row>
    <row r="22" spans="1:10" s="1" customFormat="1" ht="33" x14ac:dyDescent="0.3">
      <c r="A22" s="11" t="s">
        <v>11</v>
      </c>
      <c r="B22" s="12" t="s">
        <v>41</v>
      </c>
      <c r="C22" s="12"/>
      <c r="D22" s="12"/>
      <c r="E22" s="58" t="s">
        <v>41</v>
      </c>
      <c r="F22" s="71" t="s">
        <v>38</v>
      </c>
      <c r="G22" s="71"/>
      <c r="H22" s="59" t="s">
        <v>41</v>
      </c>
      <c r="I22" s="12" t="s">
        <v>41</v>
      </c>
    </row>
    <row r="23" spans="1:10" s="1" customFormat="1" x14ac:dyDescent="0.3">
      <c r="A23" s="11" t="s">
        <v>12</v>
      </c>
      <c r="B23" s="12" t="s">
        <v>41</v>
      </c>
      <c r="C23" s="12" t="s">
        <v>38</v>
      </c>
      <c r="D23" s="25" t="s">
        <v>92</v>
      </c>
      <c r="E23" s="58" t="s">
        <v>41</v>
      </c>
      <c r="F23" s="71" t="s">
        <v>38</v>
      </c>
      <c r="G23" s="71"/>
      <c r="H23" s="59" t="s">
        <v>41</v>
      </c>
      <c r="I23" s="12" t="s">
        <v>38</v>
      </c>
    </row>
    <row r="24" spans="1:10" s="1" customFormat="1" x14ac:dyDescent="0.3">
      <c r="A24" s="11" t="s">
        <v>13</v>
      </c>
      <c r="B24" s="12" t="s">
        <v>41</v>
      </c>
      <c r="C24" s="12" t="s">
        <v>38</v>
      </c>
      <c r="D24" s="25" t="s">
        <v>92</v>
      </c>
      <c r="E24" s="58" t="s">
        <v>41</v>
      </c>
      <c r="F24" s="71" t="s">
        <v>38</v>
      </c>
      <c r="G24" s="71"/>
      <c r="H24" s="59" t="s">
        <v>41</v>
      </c>
      <c r="I24" s="12" t="s">
        <v>38</v>
      </c>
    </row>
    <row r="25" spans="1:10" s="1" customFormat="1" x14ac:dyDescent="0.3">
      <c r="A25" s="11" t="s">
        <v>14</v>
      </c>
      <c r="B25" s="12" t="s">
        <v>41</v>
      </c>
      <c r="C25" s="12" t="s">
        <v>38</v>
      </c>
      <c r="D25" s="25" t="s">
        <v>92</v>
      </c>
      <c r="E25" s="58" t="s">
        <v>41</v>
      </c>
      <c r="F25" s="71" t="s">
        <v>38</v>
      </c>
      <c r="G25" s="71"/>
      <c r="H25" s="59" t="s">
        <v>41</v>
      </c>
      <c r="I25" s="12" t="s">
        <v>38</v>
      </c>
    </row>
    <row r="26" spans="1:10" s="1" customFormat="1" ht="33" x14ac:dyDescent="0.3">
      <c r="A26" s="11" t="s">
        <v>15</v>
      </c>
      <c r="B26" s="12" t="s">
        <v>84</v>
      </c>
      <c r="C26" s="12" t="s">
        <v>41</v>
      </c>
      <c r="D26" s="10" t="s">
        <v>41</v>
      </c>
      <c r="E26" s="58" t="s">
        <v>41</v>
      </c>
      <c r="F26" s="71" t="s">
        <v>88</v>
      </c>
      <c r="G26" s="71"/>
      <c r="H26" s="59" t="s">
        <v>41</v>
      </c>
      <c r="I26" s="12" t="s">
        <v>41</v>
      </c>
    </row>
    <row r="27" spans="1:10" s="1" customFormat="1" x14ac:dyDescent="0.3">
      <c r="A27" s="11" t="s">
        <v>16</v>
      </c>
      <c r="B27" s="12" t="s">
        <v>41</v>
      </c>
      <c r="C27" s="12" t="s">
        <v>41</v>
      </c>
      <c r="D27" s="10" t="s">
        <v>41</v>
      </c>
      <c r="E27" s="58" t="s">
        <v>41</v>
      </c>
      <c r="F27" s="71" t="s">
        <v>89</v>
      </c>
      <c r="G27" s="71"/>
      <c r="H27" s="59" t="s">
        <v>41</v>
      </c>
      <c r="I27" s="12" t="s">
        <v>41</v>
      </c>
    </row>
    <row r="28" spans="1:10" s="1" customFormat="1" ht="50.25" customHeight="1" x14ac:dyDescent="0.3">
      <c r="A28" s="11" t="s">
        <v>17</v>
      </c>
      <c r="B28" s="12" t="s">
        <v>38</v>
      </c>
      <c r="C28" s="12" t="s">
        <v>41</v>
      </c>
      <c r="D28" s="10" t="s">
        <v>41</v>
      </c>
      <c r="E28" s="58" t="s">
        <v>41</v>
      </c>
      <c r="F28" s="71" t="s">
        <v>88</v>
      </c>
      <c r="G28" s="71"/>
      <c r="H28" s="59" t="s">
        <v>41</v>
      </c>
      <c r="I28" s="12" t="s">
        <v>41</v>
      </c>
    </row>
    <row r="29" spans="1:10" s="1" customFormat="1" ht="99" x14ac:dyDescent="0.3">
      <c r="A29" s="11" t="s">
        <v>18</v>
      </c>
      <c r="B29" s="12" t="s">
        <v>41</v>
      </c>
      <c r="C29" s="12" t="s">
        <v>68</v>
      </c>
      <c r="D29" s="10" t="s">
        <v>64</v>
      </c>
      <c r="E29" s="58" t="s">
        <v>41</v>
      </c>
      <c r="F29" s="71" t="s">
        <v>41</v>
      </c>
      <c r="G29" s="71"/>
      <c r="H29" s="59" t="s">
        <v>41</v>
      </c>
      <c r="I29" s="12" t="s">
        <v>63</v>
      </c>
    </row>
    <row r="30" spans="1:10" s="1" customFormat="1" ht="115.5" x14ac:dyDescent="0.3">
      <c r="A30" s="11" t="s">
        <v>49</v>
      </c>
      <c r="B30" s="10" t="s">
        <v>94</v>
      </c>
      <c r="C30" s="12" t="s">
        <v>41</v>
      </c>
      <c r="D30" s="25" t="s">
        <v>81</v>
      </c>
      <c r="E30" s="58" t="s">
        <v>41</v>
      </c>
      <c r="F30" s="71" t="s">
        <v>90</v>
      </c>
      <c r="G30" s="71"/>
      <c r="H30" s="59" t="s">
        <v>41</v>
      </c>
      <c r="I30" s="12" t="s">
        <v>62</v>
      </c>
    </row>
    <row r="31" spans="1:10" s="1" customFormat="1" ht="82.5" x14ac:dyDescent="0.3">
      <c r="A31" s="11" t="s">
        <v>50</v>
      </c>
      <c r="B31" s="14" t="s">
        <v>41</v>
      </c>
      <c r="C31" s="12" t="s">
        <v>41</v>
      </c>
      <c r="D31" s="14" t="s">
        <v>41</v>
      </c>
      <c r="E31" s="58" t="s">
        <v>41</v>
      </c>
      <c r="F31" s="72" t="s">
        <v>41</v>
      </c>
      <c r="G31" s="72"/>
      <c r="H31" s="59" t="s">
        <v>41</v>
      </c>
      <c r="I31" s="14" t="s">
        <v>38</v>
      </c>
    </row>
    <row r="32" spans="1:10" s="34" customFormat="1" x14ac:dyDescent="0.3">
      <c r="B32" s="35"/>
      <c r="D32" s="35"/>
      <c r="E32" s="95"/>
      <c r="F32" s="95"/>
      <c r="G32" s="95"/>
      <c r="H32" s="95"/>
      <c r="I32" s="95"/>
      <c r="J32" s="95"/>
    </row>
    <row r="33" spans="1:10" s="1" customFormat="1" ht="33" x14ac:dyDescent="0.3">
      <c r="B33" s="44" t="s">
        <v>44</v>
      </c>
      <c r="C33" s="44" t="s">
        <v>65</v>
      </c>
      <c r="D33" s="44" t="s">
        <v>47</v>
      </c>
      <c r="E33" s="78" t="s">
        <v>34</v>
      </c>
      <c r="F33" s="79"/>
      <c r="G33" s="80"/>
      <c r="H33" s="81" t="s">
        <v>43</v>
      </c>
      <c r="I33" s="82"/>
      <c r="J33" s="83"/>
    </row>
    <row r="34" spans="1:10" ht="40.5" x14ac:dyDescent="0.3">
      <c r="A34" s="66" t="s">
        <v>19</v>
      </c>
      <c r="B34" s="36" t="s">
        <v>45</v>
      </c>
      <c r="C34" s="36" t="s">
        <v>66</v>
      </c>
      <c r="D34" s="24" t="s">
        <v>46</v>
      </c>
      <c r="E34" s="24" t="s">
        <v>35</v>
      </c>
      <c r="F34" s="24" t="s">
        <v>36</v>
      </c>
      <c r="G34" s="24" t="s">
        <v>69</v>
      </c>
      <c r="H34" s="36" t="s">
        <v>51</v>
      </c>
      <c r="I34" s="36" t="s">
        <v>52</v>
      </c>
      <c r="J34" s="36" t="s">
        <v>69</v>
      </c>
    </row>
    <row r="35" spans="1:10" x14ac:dyDescent="0.3">
      <c r="A35" s="47"/>
      <c r="B35" s="50"/>
      <c r="C35" s="50"/>
      <c r="D35" s="50"/>
      <c r="E35" s="25"/>
      <c r="F35" s="25"/>
      <c r="G35" s="50"/>
      <c r="H35" s="25"/>
      <c r="I35" s="25"/>
      <c r="J35" s="50"/>
    </row>
    <row r="36" spans="1:10" x14ac:dyDescent="0.3">
      <c r="A36" s="48" t="s">
        <v>20</v>
      </c>
      <c r="B36" s="50"/>
      <c r="C36" s="50"/>
      <c r="D36" s="50"/>
      <c r="E36" s="25"/>
      <c r="F36" s="25"/>
      <c r="G36" s="50"/>
      <c r="H36" s="25"/>
      <c r="I36" s="25"/>
      <c r="J36" s="50"/>
    </row>
    <row r="37" spans="1:10" x14ac:dyDescent="0.3">
      <c r="A37" s="20" t="s">
        <v>24</v>
      </c>
      <c r="B37" s="51">
        <f>45579674666.57/4497876146.13</f>
        <v>10.133599322379526</v>
      </c>
      <c r="C37" s="51">
        <f>30841355829/19297087996</f>
        <v>1.5982388552818412</v>
      </c>
      <c r="D37" s="51">
        <f>5658888366.01/2194275752.47</f>
        <v>2.5789321873698134</v>
      </c>
      <c r="E37" s="28">
        <f>(2608733000/844429000)</f>
        <v>3.0893455814520818</v>
      </c>
      <c r="F37" s="28">
        <f>(61176218855/20994270603)</f>
        <v>2.9139482867415341</v>
      </c>
      <c r="G37" s="51">
        <f>+(E37*70%)+(F37*30%)</f>
        <v>3.0367263930389172</v>
      </c>
      <c r="H37" s="28">
        <f>(26945940000/21190912000)</f>
        <v>1.2715800056175024</v>
      </c>
      <c r="I37" s="28">
        <f>(56901884658/16142823907)</f>
        <v>3.5249027670633066</v>
      </c>
      <c r="J37" s="51">
        <f>+(H37*90%)+(I37*10%)</f>
        <v>1.4969122817620828</v>
      </c>
    </row>
    <row r="38" spans="1:10" x14ac:dyDescent="0.3">
      <c r="A38" s="48" t="s">
        <v>21</v>
      </c>
      <c r="B38" s="50"/>
      <c r="C38" s="50"/>
      <c r="D38" s="50"/>
      <c r="E38" s="25"/>
      <c r="F38" s="25"/>
      <c r="G38" s="50"/>
      <c r="H38" s="25"/>
      <c r="I38" s="25"/>
      <c r="J38" s="50"/>
    </row>
    <row r="39" spans="1:10" x14ac:dyDescent="0.3">
      <c r="A39" s="20" t="s">
        <v>77</v>
      </c>
      <c r="B39" s="55">
        <f>12776485139.03/64862061430.73</f>
        <v>0.19697932592960768</v>
      </c>
      <c r="C39" s="54">
        <f>25324109151/47501953955</f>
        <v>0.53311720976762922</v>
      </c>
      <c r="D39" s="55">
        <f>5275110439.43/8550026518.19</f>
        <v>0.61697006766087981</v>
      </c>
      <c r="E39" s="26">
        <f>(1951153000/6218269000)</f>
        <v>0.31377751589710901</v>
      </c>
      <c r="F39" s="26">
        <f>((20994270602.68/64104249279))</f>
        <v>0.32750201178250976</v>
      </c>
      <c r="G39" s="54">
        <f>+(E39*70%)+(F39*30%)</f>
        <v>0.3178948646627292</v>
      </c>
      <c r="H39" s="26">
        <f>(21190912000/28657689000)</f>
        <v>0.73944943711267153</v>
      </c>
      <c r="I39" s="26">
        <f>16142823906/60851362414</f>
        <v>0.26528286739371409</v>
      </c>
      <c r="J39" s="51">
        <f>+(H39*90%)+(I39*10%)</f>
        <v>0.69203278014077574</v>
      </c>
    </row>
    <row r="40" spans="1:10" x14ac:dyDescent="0.3">
      <c r="A40" s="48" t="s">
        <v>22</v>
      </c>
      <c r="B40" s="50"/>
      <c r="C40" s="50"/>
      <c r="D40" s="50"/>
      <c r="E40" s="25"/>
      <c r="F40" s="25"/>
      <c r="G40" s="50"/>
      <c r="H40" s="25"/>
      <c r="I40" s="25"/>
      <c r="J40" s="50"/>
    </row>
    <row r="41" spans="1:10" x14ac:dyDescent="0.3">
      <c r="A41" s="20" t="s">
        <v>25</v>
      </c>
      <c r="B41" s="56">
        <f>45579674666.57-4497876146.13</f>
        <v>41081798520.440002</v>
      </c>
      <c r="C41" s="56">
        <f>30841355829-19297087996</f>
        <v>11544267833</v>
      </c>
      <c r="D41" s="56">
        <f>5658888366.01-2194275752.47</f>
        <v>3464612613.5400004</v>
      </c>
      <c r="E41" s="56">
        <f>(2608733000-844429000)</f>
        <v>1764304000</v>
      </c>
      <c r="F41" s="29">
        <f>(61176218855-20994270603)</f>
        <v>40181948252</v>
      </c>
      <c r="G41" s="52">
        <f>+(E41*70%)+(F41*30%)</f>
        <v>13289597275.6</v>
      </c>
      <c r="H41" s="29">
        <f>26945940000-21190912000</f>
        <v>5755028000</v>
      </c>
      <c r="I41" s="29">
        <f>(56901884658-16142823907)</f>
        <v>40759060751</v>
      </c>
      <c r="J41" s="52">
        <f>+(H41*90%)+(I41*10%)</f>
        <v>9255431275.1000004</v>
      </c>
    </row>
    <row r="42" spans="1:10" x14ac:dyDescent="0.3">
      <c r="A42" s="48" t="s">
        <v>23</v>
      </c>
      <c r="B42" s="50"/>
      <c r="C42" s="57"/>
      <c r="D42" s="50"/>
      <c r="E42" s="25"/>
      <c r="F42" s="25"/>
      <c r="G42" s="52"/>
      <c r="H42" s="25"/>
      <c r="I42" s="25"/>
      <c r="J42" s="52"/>
    </row>
    <row r="43" spans="1:10" x14ac:dyDescent="0.3">
      <c r="A43" s="20" t="s">
        <v>26</v>
      </c>
      <c r="B43" s="56">
        <f>64862061430.73-12776485139.03</f>
        <v>52085576291.700005</v>
      </c>
      <c r="C43" s="56">
        <f>47501953955-25324109151</f>
        <v>22177844804</v>
      </c>
      <c r="D43" s="56">
        <f>8550026518.19-5275110439.43</f>
        <v>3274916078.7599993</v>
      </c>
      <c r="E43" s="29">
        <f>(6218269000-1951153000)</f>
        <v>4267116000</v>
      </c>
      <c r="F43" s="29">
        <f>(64104249279-29222744868.86)</f>
        <v>34881504410.139999</v>
      </c>
      <c r="G43" s="52">
        <f>+(E43*70%)+(F43*30%)</f>
        <v>13451432523.042</v>
      </c>
      <c r="H43" s="29">
        <f>28657689000-21190912000</f>
        <v>7466777000</v>
      </c>
      <c r="I43" s="29">
        <f>(60851362414-16142823906)</f>
        <v>44708538508</v>
      </c>
      <c r="J43" s="52">
        <f>+(H43*90%)+(I43*10%)</f>
        <v>11190953150.799999</v>
      </c>
    </row>
    <row r="44" spans="1:10" x14ac:dyDescent="0.3">
      <c r="A44" s="20"/>
      <c r="B44" s="31" t="s">
        <v>78</v>
      </c>
      <c r="C44" s="31" t="s">
        <v>78</v>
      </c>
      <c r="D44" s="64" t="s">
        <v>96</v>
      </c>
      <c r="E44" s="84" t="s">
        <v>78</v>
      </c>
      <c r="F44" s="84"/>
      <c r="G44" s="84"/>
      <c r="H44" s="84" t="s">
        <v>78</v>
      </c>
      <c r="I44" s="84"/>
      <c r="J44" s="84"/>
    </row>
    <row r="45" spans="1:10" x14ac:dyDescent="0.3">
      <c r="A45" s="21"/>
      <c r="B45" s="63"/>
      <c r="C45" s="21"/>
      <c r="D45" s="21"/>
      <c r="E45" s="30"/>
      <c r="F45" s="30"/>
      <c r="G45" s="30"/>
      <c r="H45" s="30"/>
      <c r="I45" s="30"/>
      <c r="J45" s="30"/>
    </row>
    <row r="46" spans="1:10" x14ac:dyDescent="0.3">
      <c r="A46" s="20"/>
      <c r="B46" s="31" t="s">
        <v>95</v>
      </c>
      <c r="C46" s="21"/>
      <c r="D46" s="21"/>
      <c r="E46" s="30"/>
      <c r="F46" s="30"/>
      <c r="G46" s="30"/>
      <c r="H46" s="30"/>
      <c r="I46" s="30"/>
      <c r="J46" s="30"/>
    </row>
    <row r="47" spans="1:10" x14ac:dyDescent="0.3">
      <c r="A47" s="37" t="s">
        <v>79</v>
      </c>
      <c r="B47" s="38">
        <v>1.37795</v>
      </c>
      <c r="C47" s="21"/>
      <c r="E47" s="30"/>
      <c r="F47" s="30"/>
      <c r="G47" s="30"/>
      <c r="H47" s="30"/>
      <c r="I47" s="30"/>
      <c r="J47" s="30"/>
    </row>
    <row r="48" spans="1:10" x14ac:dyDescent="0.3">
      <c r="A48" s="37" t="s">
        <v>80</v>
      </c>
      <c r="B48" s="38">
        <v>1926.83</v>
      </c>
      <c r="C48" s="21"/>
      <c r="E48" s="21"/>
      <c r="F48" s="21"/>
      <c r="G48" s="21"/>
      <c r="H48" s="21"/>
      <c r="I48" s="21"/>
      <c r="J48" s="21"/>
    </row>
    <row r="49" spans="1:13" x14ac:dyDescent="0.3">
      <c r="A49" s="21"/>
      <c r="B49" s="21"/>
      <c r="C49" s="21"/>
      <c r="E49" s="21"/>
      <c r="F49" s="21"/>
      <c r="G49" s="21"/>
      <c r="H49" s="21"/>
      <c r="I49" s="21"/>
      <c r="J49" s="21"/>
    </row>
    <row r="50" spans="1:13" x14ac:dyDescent="0.3">
      <c r="A50" s="85" t="s">
        <v>76</v>
      </c>
      <c r="B50" s="45" t="s">
        <v>93</v>
      </c>
      <c r="C50" s="46" t="s">
        <v>97</v>
      </c>
      <c r="D50" s="45" t="s">
        <v>47</v>
      </c>
      <c r="E50" s="87" t="s">
        <v>34</v>
      </c>
      <c r="F50" s="88"/>
      <c r="G50" s="89"/>
      <c r="H50" s="90" t="s">
        <v>43</v>
      </c>
      <c r="I50" s="91"/>
      <c r="J50" s="92"/>
    </row>
    <row r="51" spans="1:13" ht="40.5" x14ac:dyDescent="0.3">
      <c r="A51" s="86"/>
      <c r="B51" s="16" t="s">
        <v>45</v>
      </c>
      <c r="C51" s="16" t="s">
        <v>66</v>
      </c>
      <c r="D51" s="15" t="s">
        <v>46</v>
      </c>
      <c r="E51" s="15" t="s">
        <v>35</v>
      </c>
      <c r="F51" s="24" t="s">
        <v>36</v>
      </c>
      <c r="G51" s="24" t="s">
        <v>69</v>
      </c>
      <c r="H51" s="36" t="s">
        <v>51</v>
      </c>
      <c r="I51" s="36" t="s">
        <v>52</v>
      </c>
      <c r="J51" s="16" t="s">
        <v>69</v>
      </c>
    </row>
    <row r="52" spans="1:13" x14ac:dyDescent="0.3">
      <c r="A52" s="11" t="s">
        <v>70</v>
      </c>
      <c r="B52" s="23">
        <f>17166998.23*B47*B48</f>
        <v>45579674666.566048</v>
      </c>
      <c r="C52" s="43">
        <v>30841355828.975998</v>
      </c>
      <c r="D52" s="23">
        <v>5658888366.0059862</v>
      </c>
      <c r="E52" s="23" t="s">
        <v>41</v>
      </c>
      <c r="F52" s="27">
        <f>23041236*B47*B48</f>
        <v>61176218854.632545</v>
      </c>
      <c r="G52" s="27" t="s">
        <v>41</v>
      </c>
      <c r="H52" s="27" t="s">
        <v>41</v>
      </c>
      <c r="I52" s="27">
        <v>56901884657.623154</v>
      </c>
      <c r="J52" s="23" t="s">
        <v>41</v>
      </c>
    </row>
    <row r="53" spans="1:13" x14ac:dyDescent="0.3">
      <c r="A53" s="11" t="s">
        <v>71</v>
      </c>
      <c r="B53" s="23">
        <f>7262462.97*B47*B48</f>
        <v>19282386764.164242</v>
      </c>
      <c r="C53" s="43">
        <v>16660598125.5875</v>
      </c>
      <c r="D53" s="23">
        <v>2891138152.180635</v>
      </c>
      <c r="E53" s="23" t="s">
        <v>41</v>
      </c>
      <c r="F53" s="23">
        <f>1102805*B47*B48</f>
        <v>2928030424.8427925</v>
      </c>
      <c r="G53" s="23" t="s">
        <v>41</v>
      </c>
      <c r="H53" s="23" t="s">
        <v>41</v>
      </c>
      <c r="I53" s="23">
        <v>3949477756.77672</v>
      </c>
      <c r="J53" s="23" t="s">
        <v>41</v>
      </c>
    </row>
    <row r="54" spans="1:13" x14ac:dyDescent="0.3">
      <c r="A54" s="11" t="s">
        <v>72</v>
      </c>
      <c r="B54" s="23">
        <f>24429461.2*B47*B48</f>
        <v>64862061430.730286</v>
      </c>
      <c r="C54" s="43">
        <v>47501953954.563499</v>
      </c>
      <c r="D54" s="23">
        <v>8550026518.1866217</v>
      </c>
      <c r="E54" s="23" t="s">
        <v>41</v>
      </c>
      <c r="F54" s="23">
        <f>24144041*B47*B48</f>
        <v>64104249279.475334</v>
      </c>
      <c r="G54" s="23" t="s">
        <v>41</v>
      </c>
      <c r="H54" s="23" t="s">
        <v>41</v>
      </c>
      <c r="I54" s="23">
        <v>60851362414.399872</v>
      </c>
      <c r="J54" s="23" t="s">
        <v>41</v>
      </c>
    </row>
    <row r="55" spans="1:13" x14ac:dyDescent="0.3">
      <c r="A55" s="11" t="s">
        <v>73</v>
      </c>
      <c r="B55" s="23">
        <f>1694067.2*B47*B48</f>
        <v>4497876146.1257792</v>
      </c>
      <c r="C55" s="43">
        <v>19297087996.298</v>
      </c>
      <c r="D55" s="23">
        <v>2194275752.4691272</v>
      </c>
      <c r="E55" s="23" t="s">
        <v>41</v>
      </c>
      <c r="F55" s="23">
        <f>7907222*B47*B48</f>
        <v>20994270602.677967</v>
      </c>
      <c r="G55" s="23" t="s">
        <v>41</v>
      </c>
      <c r="H55" s="23" t="s">
        <v>41</v>
      </c>
      <c r="I55" s="23">
        <v>16142823906.899818</v>
      </c>
      <c r="J55" s="23" t="s">
        <v>41</v>
      </c>
    </row>
    <row r="56" spans="1:13" x14ac:dyDescent="0.3">
      <c r="A56" s="11" t="s">
        <v>74</v>
      </c>
      <c r="B56" s="23">
        <f>3118031.6*B47*B48</f>
        <v>8278608992.905592</v>
      </c>
      <c r="C56" s="43">
        <v>6027021154.5949993</v>
      </c>
      <c r="D56" s="23">
        <v>3080834686.9591684</v>
      </c>
      <c r="E56" s="23" t="s">
        <v>41</v>
      </c>
      <c r="F56" s="23">
        <f>3099149*B47*B48</f>
        <v>8228474266.1858759</v>
      </c>
      <c r="G56" s="23" t="s">
        <v>41</v>
      </c>
      <c r="H56" s="23" t="s">
        <v>41</v>
      </c>
      <c r="I56" s="23">
        <v>0</v>
      </c>
      <c r="J56" s="23" t="s">
        <v>41</v>
      </c>
    </row>
    <row r="57" spans="1:13" x14ac:dyDescent="0.3">
      <c r="A57" s="11" t="s">
        <v>75</v>
      </c>
      <c r="B57" s="23">
        <f>+(3118031.6+1694067.2)*B47*B48</f>
        <v>12776485139.031372</v>
      </c>
      <c r="C57" s="43">
        <v>25324109150.892998</v>
      </c>
      <c r="D57" s="23">
        <v>5275110439.4282961</v>
      </c>
      <c r="E57" s="23" t="s">
        <v>41</v>
      </c>
      <c r="F57" s="23">
        <f>(3099149+7907222)*B47*B48</f>
        <v>29222744868.863842</v>
      </c>
      <c r="G57" s="23" t="s">
        <v>41</v>
      </c>
      <c r="H57" s="23" t="s">
        <v>41</v>
      </c>
      <c r="I57" s="23">
        <v>16142823906.899818</v>
      </c>
      <c r="J57" s="23" t="s">
        <v>41</v>
      </c>
    </row>
    <row r="58" spans="1:13" x14ac:dyDescent="0.3">
      <c r="A58" s="11" t="s">
        <v>14</v>
      </c>
      <c r="B58" s="23">
        <f>19617362.4*B47*B48</f>
        <v>52085576291.698914</v>
      </c>
      <c r="C58" s="43">
        <v>22177844803.670498</v>
      </c>
      <c r="D58" s="23">
        <v>3274916397.367373</v>
      </c>
      <c r="E58" s="23" t="s">
        <v>41</v>
      </c>
      <c r="F58" s="23">
        <f>+F54-F57</f>
        <v>34881504410.611496</v>
      </c>
      <c r="G58" s="23" t="s">
        <v>41</v>
      </c>
      <c r="H58" s="23" t="s">
        <v>41</v>
      </c>
      <c r="I58" s="23">
        <v>44708538507.500053</v>
      </c>
      <c r="J58" s="23" t="s">
        <v>41</v>
      </c>
    </row>
    <row r="59" spans="1:13" x14ac:dyDescent="0.3">
      <c r="A59" s="32"/>
      <c r="B59" s="32"/>
      <c r="C59" s="33"/>
      <c r="D59" s="32"/>
      <c r="E59" s="32"/>
      <c r="F59" s="32"/>
      <c r="G59" s="32"/>
      <c r="H59" s="32"/>
      <c r="I59" s="32"/>
      <c r="J59" s="32"/>
    </row>
    <row r="60" spans="1:13" x14ac:dyDescent="0.3">
      <c r="A60" s="19"/>
      <c r="B60" s="32"/>
      <c r="C60" s="33"/>
      <c r="D60" s="19"/>
      <c r="E60" s="32"/>
      <c r="F60" s="32"/>
      <c r="G60" s="32"/>
      <c r="H60" s="32"/>
      <c r="I60" s="32"/>
      <c r="J60" s="32"/>
    </row>
    <row r="61" spans="1:13" x14ac:dyDescent="0.3">
      <c r="A61" s="18"/>
    </row>
    <row r="62" spans="1:13" x14ac:dyDescent="0.3">
      <c r="A62" s="3" t="s">
        <v>27</v>
      </c>
    </row>
    <row r="63" spans="1:13" x14ac:dyDescent="0.3">
      <c r="A63" s="4"/>
    </row>
    <row r="64" spans="1:13" s="42" customFormat="1" x14ac:dyDescent="0.3">
      <c r="A64" s="5">
        <f>+A63*10%</f>
        <v>0</v>
      </c>
      <c r="B64" s="2"/>
      <c r="C64" s="5"/>
      <c r="D64" s="2"/>
      <c r="E64" s="2"/>
      <c r="F64" s="2"/>
      <c r="G64" s="2"/>
      <c r="H64" s="2"/>
      <c r="I64" s="2"/>
      <c r="J64" s="1"/>
      <c r="K64" s="1"/>
      <c r="L64" s="22"/>
      <c r="M64" s="22"/>
    </row>
    <row r="66" spans="1:13" s="42" customFormat="1" x14ac:dyDescent="0.3">
      <c r="A66" s="3"/>
      <c r="B66" s="2"/>
      <c r="C66" s="3"/>
      <c r="D66" s="2"/>
      <c r="E66" s="2"/>
      <c r="F66" s="2"/>
      <c r="G66" s="2"/>
      <c r="H66" s="2"/>
      <c r="I66" s="2"/>
      <c r="J66" s="1"/>
      <c r="K66" s="1"/>
      <c r="L66" s="22"/>
      <c r="M66" s="22"/>
    </row>
    <row r="67" spans="1:13" s="42" customFormat="1" x14ac:dyDescent="0.3">
      <c r="A67" s="6"/>
      <c r="B67" s="2"/>
      <c r="C67" s="6"/>
      <c r="D67" s="2"/>
      <c r="E67" s="2"/>
      <c r="F67" s="2"/>
      <c r="G67" s="2"/>
      <c r="H67" s="2"/>
      <c r="I67" s="2"/>
      <c r="J67" s="1"/>
      <c r="K67" s="1"/>
      <c r="L67" s="22"/>
      <c r="M67" s="22"/>
    </row>
    <row r="70" spans="1:13" s="42" customFormat="1" x14ac:dyDescent="0.3">
      <c r="A70" s="8"/>
      <c r="B70" s="2"/>
      <c r="C70" s="8"/>
      <c r="D70" s="2"/>
      <c r="E70" s="2"/>
      <c r="F70" s="2"/>
      <c r="G70" s="2"/>
      <c r="H70" s="2"/>
      <c r="I70" s="2"/>
      <c r="J70" s="1"/>
      <c r="K70" s="1"/>
      <c r="L70" s="22"/>
      <c r="M70" s="22"/>
    </row>
    <row r="71" spans="1:13" s="42" customFormat="1" x14ac:dyDescent="0.3">
      <c r="A71" s="7"/>
      <c r="B71" s="2"/>
      <c r="C71" s="7"/>
      <c r="D71" s="2"/>
      <c r="E71" s="2"/>
      <c r="F71" s="2"/>
      <c r="G71" s="2"/>
      <c r="H71" s="2"/>
      <c r="I71" s="2"/>
      <c r="J71" s="1"/>
      <c r="K71" s="1"/>
      <c r="L71" s="22"/>
      <c r="M71" s="22"/>
    </row>
  </sheetData>
  <mergeCells count="37">
    <mergeCell ref="E32:G32"/>
    <mergeCell ref="H32:J32"/>
    <mergeCell ref="E7:G7"/>
    <mergeCell ref="F8:G8"/>
    <mergeCell ref="F9:G9"/>
    <mergeCell ref="F10:G10"/>
    <mergeCell ref="F11:G11"/>
    <mergeCell ref="F12:G12"/>
    <mergeCell ref="F13:G13"/>
    <mergeCell ref="E33:G33"/>
    <mergeCell ref="H33:J33"/>
    <mergeCell ref="E44:G44"/>
    <mergeCell ref="H44:J44"/>
    <mergeCell ref="A50:A51"/>
    <mergeCell ref="E50:G50"/>
    <mergeCell ref="H50:J50"/>
    <mergeCell ref="A1:I1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A7:A8"/>
    <mergeCell ref="F29:G29"/>
    <mergeCell ref="F30:G30"/>
    <mergeCell ref="F31:G31"/>
    <mergeCell ref="H7:I7"/>
    <mergeCell ref="A3:I3"/>
    <mergeCell ref="F27:G27"/>
    <mergeCell ref="F28:G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Claudia Milena Collazos Saenz</cp:lastModifiedBy>
  <dcterms:created xsi:type="dcterms:W3CDTF">2014-04-22T13:50:24Z</dcterms:created>
  <dcterms:modified xsi:type="dcterms:W3CDTF">2014-05-22T19:28:54Z</dcterms:modified>
</cp:coreProperties>
</file>