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eno\Desktop\AD DELAGA RADIO\ANEX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7" i="1" l="1"/>
  <c r="E116" i="1"/>
  <c r="E115" i="1"/>
  <c r="E111" i="1"/>
  <c r="E110" i="1"/>
  <c r="E109" i="1"/>
  <c r="E108" i="1"/>
  <c r="E107" i="1"/>
  <c r="E106" i="1"/>
  <c r="E105" i="1"/>
  <c r="E104" i="1"/>
  <c r="E103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4" i="1"/>
  <c r="E43" i="1"/>
  <c r="E42" i="1"/>
  <c r="E39" i="1"/>
  <c r="F45" i="1"/>
  <c r="B122" i="1" s="1"/>
  <c r="E35" i="1"/>
  <c r="E34" i="1"/>
  <c r="E33" i="1"/>
  <c r="E32" i="1"/>
  <c r="E31" i="1"/>
  <c r="E30" i="1"/>
  <c r="E29" i="1"/>
  <c r="E28" i="1"/>
  <c r="E27" i="1"/>
  <c r="E22" i="1"/>
  <c r="E26" i="1"/>
  <c r="E25" i="1"/>
  <c r="E24" i="1"/>
  <c r="E23" i="1"/>
  <c r="F36" i="1"/>
  <c r="F100" i="1"/>
  <c r="B123" i="1" s="1"/>
  <c r="F112" i="1"/>
  <c r="B124" i="1" s="1"/>
  <c r="F118" i="1"/>
  <c r="B125" i="1" s="1"/>
  <c r="B121" i="1"/>
  <c r="B126" i="1" l="1"/>
</calcChain>
</file>

<file path=xl/sharedStrings.xml><?xml version="1.0" encoding="utf-8"?>
<sst xmlns="http://schemas.openxmlformats.org/spreadsheetml/2006/main" count="205" uniqueCount="156">
  <si>
    <t>ACTIVIDAD</t>
  </si>
  <si>
    <t>DESCRIPCIÓN</t>
  </si>
  <si>
    <t>DETALLE</t>
  </si>
  <si>
    <t>CANTIDAD</t>
  </si>
  <si>
    <t>SUBTOTAL</t>
  </si>
  <si>
    <t>Equipo Humano de producción y de logística</t>
  </si>
  <si>
    <t>Productor General</t>
  </si>
  <si>
    <t>Coordinación general
Comunicación</t>
  </si>
  <si>
    <t>Productor técnico</t>
  </si>
  <si>
    <t>Operación técnica. 
Montaje, evento, desmontaje</t>
  </si>
  <si>
    <t>Productor logístico</t>
  </si>
  <si>
    <t>Operación logística. 
Montaje, evento y desmontaje</t>
  </si>
  <si>
    <t>Ingeniero de luces y video</t>
  </si>
  <si>
    <t>Montaje, dirección de luces, evento y desmontaje</t>
  </si>
  <si>
    <t>Stage Manager</t>
  </si>
  <si>
    <t>Jefe de Roadies</t>
  </si>
  <si>
    <t>Roadies</t>
  </si>
  <si>
    <t>Coordinador de camerinos</t>
  </si>
  <si>
    <t>Acomodación</t>
  </si>
  <si>
    <t>Coordinador de alimentación</t>
  </si>
  <si>
    <t>Alimentación e hidratación</t>
  </si>
  <si>
    <t>Coordinador de transporte</t>
  </si>
  <si>
    <t>Comunicación y coordinación con los grupos</t>
  </si>
  <si>
    <t>Operadores logísticos</t>
  </si>
  <si>
    <t>Brigada contra incendios</t>
  </si>
  <si>
    <t>Coordinadores logísticos</t>
  </si>
  <si>
    <t>Operadores técnicos-montaje</t>
  </si>
  <si>
    <t>Descargue, traslado, montaje, equipos, instrumentos, back line</t>
  </si>
  <si>
    <t>Operador de bodega</t>
  </si>
  <si>
    <t>Back line, instrumentos bandas, equipos RTVC</t>
  </si>
  <si>
    <t>Seguridad y primeros auxilios</t>
  </si>
  <si>
    <t>Ambulancia medicalizada
(10:00 a.m. a 8:30 p.m.)</t>
  </si>
  <si>
    <t>Médicos</t>
  </si>
  <si>
    <t>MEC</t>
  </si>
  <si>
    <t>Auxiliares</t>
  </si>
  <si>
    <t>Servicio de Aseo</t>
  </si>
  <si>
    <t xml:space="preserve">Equipo humano </t>
  </si>
  <si>
    <t>Implementos básicos</t>
  </si>
  <si>
    <t>Seguridad Privada</t>
  </si>
  <si>
    <t>Montaje, evento y desmontaje (diurno y nocturno)</t>
  </si>
  <si>
    <t>Insumos técnicos y logísticos</t>
  </si>
  <si>
    <t xml:space="preserve">Tarima Principal </t>
  </si>
  <si>
    <t>Dimensiones: 20x18 mts x 2 mts.</t>
  </si>
  <si>
    <t>Techo</t>
  </si>
  <si>
    <t>Área: 16x10 mts, mínimo ground support o en scaffold. Instalación incluida a una altura de 18 mts. Camara negra en tela.</t>
  </si>
  <si>
    <t>Back line</t>
  </si>
  <si>
    <t>Batería completa de alta gama: Dos (2) toms de aire, dos (2) toms de piso, un (1) bombo, un (1) redoblante,  una (1) silla, una (1) base para hi-hat, un (1) pedal doble, cinco (5) bases para platillos, un (1) tapete, un set de platillos compuesto por hi-hat, 2 crash, 1 ride, 1 china, 1 splash.</t>
  </si>
  <si>
    <t>Amplificador para teclado</t>
  </si>
  <si>
    <t>Amplificador para guitarra (cabina y cabezote)</t>
  </si>
  <si>
    <t>Amplificador para guitarra (combo)</t>
  </si>
  <si>
    <t>Set completo percusión</t>
  </si>
  <si>
    <t>Stand para teclado doble</t>
  </si>
  <si>
    <t>Stand para teclado sencillo</t>
  </si>
  <si>
    <t>Stand para guitarra o bajo</t>
  </si>
  <si>
    <t>Teclado profesional de 6 octavas</t>
  </si>
  <si>
    <t>Teclado profesional de 88 teclas pesadas</t>
  </si>
  <si>
    <t>Set unidades de CD</t>
  </si>
  <si>
    <t>DJ set completo</t>
  </si>
  <si>
    <t>Guitarrero para 5 guitarras</t>
  </si>
  <si>
    <t>Cables de 12 metros plug &amp; plug</t>
  </si>
  <si>
    <t>Trigger</t>
  </si>
  <si>
    <t>Computador portátil</t>
  </si>
  <si>
    <t xml:space="preserve">Consola sistema P.A.  </t>
  </si>
  <si>
    <t>De una marca reconocida profesionalmente, de 32 canales, principales cada uno con ecualización full paramétrica de 3 bandas (mínimo) Cuatro subgrupos de mezcla.</t>
  </si>
  <si>
    <t>Consola para monitores</t>
  </si>
  <si>
    <t>De una marca reconocida profesionalmente, de 32 canales, preferiblemente digital cada uno con ecualización full paramétrica de 3 bandas (mínimo) Cuatro subgrupos de mezcla.</t>
  </si>
  <si>
    <t>Cabinas LINE ARRAY</t>
  </si>
  <si>
    <t>Para dispersión de frecuencias medias y altas, mínimo 450 vatios c/u</t>
  </si>
  <si>
    <t>Cabinas frecuencias bajas</t>
  </si>
  <si>
    <t>Para dispersión de frecuencias bajas de doble parlante, mínimo 1000 vatios c/u con sus amplificadores de potencia</t>
  </si>
  <si>
    <t>Cabinas SIDE FIELD</t>
  </si>
  <si>
    <t>Para dispersión de frecuencias medias y altas, mínimo 1000 vatios c/u con sus amplificadores de potencia</t>
  </si>
  <si>
    <t>Monitores de Piso</t>
  </si>
  <si>
    <t>Mínimo de 500 vatios c/u</t>
  </si>
  <si>
    <t>Monitores y bajos para Side Field</t>
  </si>
  <si>
    <t>Micrófonos</t>
  </si>
  <si>
    <t>Set de microfonería y cajas directas especializado (voces e instrumentos). Debe incluir obligatoriamente dos (2) micrófonos inalámbricos.</t>
  </si>
  <si>
    <t>Snake con spliter</t>
  </si>
  <si>
    <t>32 canales principales y canales auxiliares para envíos de señal por splitter balanceado de dos vías.</t>
  </si>
  <si>
    <t>Iluminación</t>
  </si>
  <si>
    <t>Par leds y barras de leds</t>
  </si>
  <si>
    <t>Barra de leds</t>
  </si>
  <si>
    <t>Par 64</t>
  </si>
  <si>
    <t>Mini brutos</t>
  </si>
  <si>
    <t>Cabezas 575 spot</t>
  </si>
  <si>
    <t>Cabezas 575 wash</t>
  </si>
  <si>
    <t>Strobos</t>
  </si>
  <si>
    <t>Seguidor</t>
  </si>
  <si>
    <t>Dimmer</t>
  </si>
  <si>
    <t>Consola</t>
  </si>
  <si>
    <t>Truss (3 mts)</t>
  </si>
  <si>
    <t>Maquina de humo</t>
  </si>
  <si>
    <t>Luz de Evacuación</t>
  </si>
  <si>
    <t>Gobos</t>
  </si>
  <si>
    <t>Pantalla de Video LEDs</t>
  </si>
  <si>
    <t>LEDs outdoor 16 mm de 32 metros cuadrados</t>
  </si>
  <si>
    <t>Circuito cerrado de TV</t>
  </si>
  <si>
    <t xml:space="preserve">2 cámaras, incluido generador de caracteres, switcher, sistema intercom, VTR Betacam y registro en digital. </t>
  </si>
  <si>
    <t>Herramientas</t>
  </si>
  <si>
    <t>Caja de herramienta básica</t>
  </si>
  <si>
    <t>Radios de comunicación</t>
  </si>
  <si>
    <t>Planta eléctrica</t>
  </si>
  <si>
    <t>50 Kva, CABLE ACOMETIDA X 50 MTS</t>
  </si>
  <si>
    <t>150 Kva, CABLE ACOMETIDA X 50 MTS</t>
  </si>
  <si>
    <t>300 Kva, CABLE ACOMETIDA X 50 MTS</t>
  </si>
  <si>
    <t>Yellow jacket</t>
  </si>
  <si>
    <t>Cubrimiento cables</t>
  </si>
  <si>
    <t>Sobretarimas</t>
  </si>
  <si>
    <t>2.44 x 2.44 x 0.60, con ruedas</t>
  </si>
  <si>
    <t>Vallas</t>
  </si>
  <si>
    <t>Baterías sanitarias</t>
  </si>
  <si>
    <t>Cena montaje</t>
  </si>
  <si>
    <t>Hidratación montaje</t>
  </si>
  <si>
    <t>Refrigerio a.m. evento</t>
  </si>
  <si>
    <t>Refrigerio p.m. evento</t>
  </si>
  <si>
    <t>Almuerzo especial evento</t>
  </si>
  <si>
    <t>Gaseosas evento</t>
  </si>
  <si>
    <t>Transporte</t>
  </si>
  <si>
    <t>Traslado XXX - Perimetro Urbano - XXX</t>
  </si>
  <si>
    <t>Músicos</t>
  </si>
  <si>
    <t>Músicos e instrumentos</t>
  </si>
  <si>
    <t>Transporte de carga - Perimetro urbano</t>
  </si>
  <si>
    <t>Camión</t>
  </si>
  <si>
    <t>Equipo humano de producción y logística</t>
  </si>
  <si>
    <t>Seguridad y Primeros Auxilios</t>
  </si>
  <si>
    <t>120 PUNTOS</t>
  </si>
  <si>
    <t>20 PUNTOS</t>
  </si>
  <si>
    <t>100 PUNTOS</t>
  </si>
  <si>
    <t>10 PUNTOS</t>
  </si>
  <si>
    <t>50 PUNTOS</t>
  </si>
  <si>
    <t>COTIZACIÓN INSUMOS TÉCNICOS Y LOGÍSTICOS</t>
  </si>
  <si>
    <t>Señor proponente el presente anexo económico deberá ser diligenciado en su totalidad y debe tener en cuenta que este anexo corresponde a los requerimientos técnicos mínimos para la preproducción,</t>
  </si>
  <si>
    <t>producción y posproducción de un evento, por lo tanto, Radio Televisión Nacional de Colombia, atendiendo la naturaleza del evento tendrá la facultad de determinar la cantidad de los bienes y servicios,</t>
  </si>
  <si>
    <t>de conformidad con la tarifa ofertada por usted en su propuesta, previa aprobación de la Subgerencia de Radio de RTVC.</t>
  </si>
  <si>
    <t>NOTAS: (*) SEÑOR OFERENTE tenga en cuenta que debe ofertar todos los items y servicios que se requieren a continuación, de manera detallada sin excluir ninguno de ellos, toda vez que de</t>
  </si>
  <si>
    <t xml:space="preserve"> prescindir de cualquiera de estos, o modificar el anexo de su propuesta no podrá se comparada con las demás y como consecuencia su oferta será RECHAZADA. Tampoco podrá agrupar en paquetes</t>
  </si>
  <si>
    <t>segmentos de insumos, la cotización debe ser individual para cada item.</t>
  </si>
  <si>
    <t>servicio técnico serán RECHAZADAS.</t>
  </si>
  <si>
    <t>VALOR TECHO UNITARIO</t>
  </si>
  <si>
    <t>VALOR UNITARIO PROPUESTO</t>
  </si>
  <si>
    <t>1 día</t>
  </si>
  <si>
    <t xml:space="preserve">Almuerzo evento </t>
  </si>
  <si>
    <t>Una botella de agua</t>
  </si>
  <si>
    <t>Refrigerio a.m. reforzado evento</t>
  </si>
  <si>
    <t>Refrigerio p.m. reforzado evento</t>
  </si>
  <si>
    <t>Una botella de gaseosa</t>
  </si>
  <si>
    <t>FIRMA REPRESENTANTE LEGAL</t>
  </si>
  <si>
    <t>NOMBRE REPRESENTANTE LEGAL</t>
  </si>
  <si>
    <t>C.C.</t>
  </si>
  <si>
    <t>DATOS DEL PROPONENTE</t>
  </si>
  <si>
    <t>NIT</t>
  </si>
  <si>
    <t>DIRECCIÓN</t>
  </si>
  <si>
    <t xml:space="preserve">CIUDAD </t>
  </si>
  <si>
    <t>TELÉFONO</t>
  </si>
  <si>
    <t xml:space="preserve">(**) Aquellas propuestas en las que se oferten tarifas inferiores al 85% previsto para cada uno de los items y de los servicios o superen el techo consignado para cada item y/o para cada </t>
  </si>
  <si>
    <t>ANEXO Nº 3   ANEXO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</si>
</sst>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-;\-* #,##0_-;_-* &quot;-&quot;_-;_-@_-"/>
    <numFmt numFmtId="165" formatCode="_-* #,##0.00_-;\-* #,##0.00_-;_-* &quot;-&quot;??_-;_-@_-"/>
    <numFmt numFmtId="166" formatCode="_ &quot;$&quot;\ * #,##0_ ;_ &quot;$&quot;\ * \-#,##0_ ;_ &quot;$&quot;\ * &quot;-&quot;??_ ;_ @_ "/>
    <numFmt numFmtId="167" formatCode="0.0"/>
    <numFmt numFmtId="168" formatCode="_ * #,##0_ ;_ * \-#,##0_ ;_ * &quot;-&quot;??_ ;_ @_ "/>
    <numFmt numFmtId="169" formatCode="_ * #,##0.00_ ;_ * \-#,##0.00_ ;_ * &quot;-&quot;_ ;_ @_ "/>
    <numFmt numFmtId="170" formatCode="_ * #,##0_ ;_ * \-#,##0_ ;_ * &quot;-&quot;_ ;_ @_ "/>
    <numFmt numFmtId="171" formatCode="_-* #,##0_ _€_-;\-* #,##0_ _€_-;_-* &quot;-&quot;??_ _€_-;_-@_-"/>
    <numFmt numFmtId="172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sz val="16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5">
    <xf numFmtId="0" fontId="0" fillId="0" borderId="0" xfId="0"/>
    <xf numFmtId="166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67" fontId="2" fillId="0" borderId="0" xfId="0" applyNumberFormat="1" applyFont="1" applyAlignment="1">
      <alignment horizontal="center" vertical="top" wrapText="1"/>
    </xf>
    <xf numFmtId="168" fontId="2" fillId="0" borderId="0" xfId="1" applyNumberFormat="1" applyFont="1" applyAlignment="1">
      <alignment vertical="top" wrapText="1"/>
    </xf>
    <xf numFmtId="0" fontId="2" fillId="0" borderId="0" xfId="0" applyFont="1" applyAlignment="1">
      <alignment wrapText="1"/>
    </xf>
    <xf numFmtId="166" fontId="3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vertical="top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8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68" fontId="2" fillId="0" borderId="4" xfId="1" applyNumberFormat="1" applyFont="1" applyBorder="1" applyAlignment="1">
      <alignment vertical="center" wrapText="1"/>
    </xf>
    <xf numFmtId="168" fontId="2" fillId="0" borderId="5" xfId="1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0" fontId="2" fillId="0" borderId="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68" fontId="2" fillId="0" borderId="8" xfId="1" applyNumberFormat="1" applyFont="1" applyBorder="1" applyAlignment="1">
      <alignment vertical="center" wrapText="1"/>
    </xf>
    <xf numFmtId="168" fontId="2" fillId="0" borderId="9" xfId="1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68" fontId="2" fillId="0" borderId="13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1" fontId="3" fillId="0" borderId="17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168" fontId="3" fillId="0" borderId="0" xfId="1" applyNumberFormat="1" applyFont="1" applyFill="1" applyBorder="1" applyAlignment="1">
      <alignment horizontal="right" vertical="top" wrapText="1"/>
    </xf>
    <xf numFmtId="168" fontId="3" fillId="0" borderId="18" xfId="1" applyNumberFormat="1" applyFont="1" applyFill="1" applyBorder="1" applyAlignment="1">
      <alignment vertical="top" wrapText="1"/>
    </xf>
    <xf numFmtId="0" fontId="2" fillId="0" borderId="4" xfId="0" applyNumberFormat="1" applyFont="1" applyBorder="1" applyAlignment="1">
      <alignment vertical="center" wrapText="1"/>
    </xf>
    <xf numFmtId="0" fontId="2" fillId="0" borderId="29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68" fontId="2" fillId="0" borderId="13" xfId="1" applyNumberFormat="1" applyFont="1" applyBorder="1" applyAlignment="1">
      <alignment vertical="center" wrapText="1"/>
    </xf>
    <xf numFmtId="168" fontId="3" fillId="0" borderId="0" xfId="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1" fontId="4" fillId="2" borderId="2" xfId="0" applyNumberFormat="1" applyFont="1" applyFill="1" applyBorder="1" applyAlignment="1">
      <alignment horizontal="center" vertical="center" wrapText="1"/>
    </xf>
    <xf numFmtId="168" fontId="4" fillId="2" borderId="2" xfId="1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4" xfId="0" applyNumberFormat="1" applyFont="1" applyBorder="1" applyAlignment="1">
      <alignment vertical="top" wrapText="1"/>
    </xf>
    <xf numFmtId="0" fontId="2" fillId="0" borderId="8" xfId="0" applyNumberFormat="1" applyFont="1" applyFill="1" applyBorder="1" applyAlignment="1">
      <alignment vertical="center" wrapText="1"/>
    </xf>
    <xf numFmtId="0" fontId="2" fillId="0" borderId="8" xfId="0" applyNumberFormat="1" applyFont="1" applyBorder="1" applyAlignment="1">
      <alignment vertical="top" wrapText="1"/>
    </xf>
    <xf numFmtId="168" fontId="5" fillId="0" borderId="8" xfId="1" applyNumberFormat="1" applyFont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vertical="center" wrapText="1"/>
    </xf>
    <xf numFmtId="0" fontId="2" fillId="0" borderId="26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8" xfId="0" applyFont="1" applyBorder="1" applyAlignment="1">
      <alignment vertical="center" wrapText="1"/>
    </xf>
    <xf numFmtId="168" fontId="2" fillId="0" borderId="8" xfId="1" applyNumberFormat="1" applyFont="1" applyBorder="1" applyAlignment="1">
      <alignment vertical="top" wrapText="1"/>
    </xf>
    <xf numFmtId="168" fontId="3" fillId="0" borderId="8" xfId="1" applyNumberFormat="1" applyFont="1" applyBorder="1" applyAlignment="1">
      <alignment vertical="top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vertical="top" wrapText="1"/>
    </xf>
    <xf numFmtId="166" fontId="2" fillId="0" borderId="8" xfId="0" applyNumberFormat="1" applyFont="1" applyBorder="1" applyAlignment="1">
      <alignment vertical="top" wrapText="1"/>
    </xf>
    <xf numFmtId="168" fontId="2" fillId="0" borderId="0" xfId="1" applyNumberFormat="1" applyFont="1" applyAlignment="1">
      <alignment wrapText="1"/>
    </xf>
    <xf numFmtId="0" fontId="2" fillId="0" borderId="8" xfId="0" applyNumberFormat="1" applyFont="1" applyFill="1" applyBorder="1" applyAlignment="1">
      <alignment horizontal="left" vertical="top" wrapText="1"/>
    </xf>
    <xf numFmtId="168" fontId="2" fillId="0" borderId="0" xfId="0" applyNumberFormat="1" applyFont="1" applyAlignment="1">
      <alignment wrapText="1"/>
    </xf>
    <xf numFmtId="0" fontId="2" fillId="0" borderId="3" xfId="1" applyNumberFormat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center" vertical="top" wrapText="1"/>
    </xf>
    <xf numFmtId="168" fontId="2" fillId="0" borderId="4" xfId="1" applyNumberFormat="1" applyFont="1" applyBorder="1" applyAlignment="1">
      <alignment vertical="top" wrapText="1"/>
    </xf>
    <xf numFmtId="0" fontId="2" fillId="0" borderId="26" xfId="1" applyNumberFormat="1" applyFont="1" applyBorder="1" applyAlignment="1">
      <alignment horizontal="center" vertical="top" wrapText="1"/>
    </xf>
    <xf numFmtId="168" fontId="2" fillId="0" borderId="26" xfId="1" applyNumberFormat="1" applyFont="1" applyBorder="1" applyAlignment="1">
      <alignment vertical="top" wrapText="1"/>
    </xf>
    <xf numFmtId="0" fontId="5" fillId="0" borderId="7" xfId="1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" fontId="3" fillId="0" borderId="14" xfId="0" applyNumberFormat="1" applyFont="1" applyFill="1" applyBorder="1" applyAlignment="1">
      <alignment horizontal="right" vertical="top" wrapText="1"/>
    </xf>
    <xf numFmtId="1" fontId="3" fillId="0" borderId="15" xfId="0" applyNumberFormat="1" applyFont="1" applyFill="1" applyBorder="1" applyAlignment="1">
      <alignment horizontal="right" vertical="top" wrapText="1"/>
    </xf>
    <xf numFmtId="168" fontId="3" fillId="0" borderId="15" xfId="1" applyNumberFormat="1" applyFont="1" applyFill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27" xfId="0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vertical="center" wrapText="1"/>
    </xf>
    <xf numFmtId="166" fontId="4" fillId="2" borderId="35" xfId="0" applyNumberFormat="1" applyFont="1" applyFill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169" fontId="3" fillId="0" borderId="0" xfId="2" applyNumberFormat="1" applyFont="1" applyBorder="1" applyAlignment="1">
      <alignment horizontal="center" vertical="top" wrapText="1"/>
    </xf>
    <xf numFmtId="168" fontId="3" fillId="0" borderId="0" xfId="1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37" xfId="0" applyNumberFormat="1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top" wrapText="1"/>
    </xf>
    <xf numFmtId="170" fontId="2" fillId="0" borderId="0" xfId="2" applyNumberFormat="1" applyFont="1" applyFill="1" applyBorder="1" applyAlignment="1">
      <alignment horizontal="center" vertical="top" wrapText="1"/>
    </xf>
    <xf numFmtId="170" fontId="2" fillId="0" borderId="0" xfId="2" applyNumberFormat="1" applyFont="1" applyBorder="1" applyAlignment="1">
      <alignment horizontal="center" vertical="top" wrapText="1"/>
    </xf>
    <xf numFmtId="0" fontId="2" fillId="0" borderId="0" xfId="1" applyNumberFormat="1" applyFont="1" applyFill="1" applyBorder="1" applyAlignment="1">
      <alignment vertical="center" wrapText="1"/>
    </xf>
    <xf numFmtId="168" fontId="2" fillId="0" borderId="0" xfId="1" applyNumberFormat="1" applyFont="1" applyFill="1" applyBorder="1" applyAlignment="1">
      <alignment vertical="center" wrapText="1"/>
    </xf>
    <xf numFmtId="0" fontId="3" fillId="0" borderId="27" xfId="0" applyNumberFormat="1" applyFont="1" applyFill="1" applyBorder="1" applyAlignment="1">
      <alignment vertical="center" wrapText="1"/>
    </xf>
    <xf numFmtId="168" fontId="2" fillId="0" borderId="0" xfId="1" applyNumberFormat="1" applyFont="1" applyBorder="1" applyAlignment="1">
      <alignment vertical="center" wrapText="1"/>
    </xf>
    <xf numFmtId="0" fontId="2" fillId="0" borderId="0" xfId="1" applyNumberFormat="1" applyFont="1" applyAlignment="1">
      <alignment vertical="top" wrapText="1"/>
    </xf>
    <xf numFmtId="166" fontId="4" fillId="3" borderId="33" xfId="0" applyNumberFormat="1" applyFont="1" applyFill="1" applyBorder="1" applyAlignment="1">
      <alignment horizontal="right" vertical="top" wrapText="1"/>
    </xf>
    <xf numFmtId="168" fontId="4" fillId="3" borderId="34" xfId="1" applyNumberFormat="1" applyFont="1" applyFill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6" xfId="0" applyFont="1" applyBorder="1" applyAlignment="1">
      <alignment horizontal="left" vertical="center" wrapText="1"/>
    </xf>
    <xf numFmtId="1" fontId="3" fillId="4" borderId="32" xfId="0" applyNumberFormat="1" applyFont="1" applyFill="1" applyBorder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168" fontId="3" fillId="0" borderId="0" xfId="1" applyNumberFormat="1" applyFont="1" applyAlignment="1">
      <alignment vertical="top" wrapText="1"/>
    </xf>
    <xf numFmtId="166" fontId="3" fillId="0" borderId="17" xfId="0" applyNumberFormat="1" applyFont="1" applyBorder="1" applyAlignment="1">
      <alignment vertical="top" wrapText="1"/>
    </xf>
    <xf numFmtId="166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168" fontId="3" fillId="0" borderId="0" xfId="1" applyNumberFormat="1" applyFont="1" applyBorder="1" applyAlignment="1">
      <alignment vertical="top" wrapText="1"/>
    </xf>
    <xf numFmtId="168" fontId="3" fillId="0" borderId="18" xfId="1" applyNumberFormat="1" applyFont="1" applyBorder="1" applyAlignment="1">
      <alignment vertical="top" wrapText="1"/>
    </xf>
    <xf numFmtId="166" fontId="3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left" vertical="top" wrapText="1"/>
    </xf>
    <xf numFmtId="166" fontId="3" fillId="0" borderId="16" xfId="0" applyNumberFormat="1" applyFont="1" applyBorder="1" applyAlignment="1">
      <alignment horizontal="left" vertical="top" wrapText="1"/>
    </xf>
    <xf numFmtId="172" fontId="2" fillId="0" borderId="4" xfId="1" applyNumberFormat="1" applyFont="1" applyBorder="1" applyAlignment="1">
      <alignment horizontal="center" vertical="center" wrapText="1"/>
    </xf>
    <xf numFmtId="172" fontId="2" fillId="0" borderId="8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left" vertical="center" wrapText="1"/>
    </xf>
    <xf numFmtId="0" fontId="2" fillId="0" borderId="8" xfId="1" applyNumberFormat="1" applyFont="1" applyBorder="1" applyAlignment="1">
      <alignment vertical="center" wrapText="1"/>
    </xf>
    <xf numFmtId="168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172" fontId="2" fillId="0" borderId="0" xfId="0" applyNumberFormat="1" applyFont="1" applyAlignment="1">
      <alignment wrapText="1"/>
    </xf>
    <xf numFmtId="0" fontId="3" fillId="0" borderId="3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166" fontId="3" fillId="0" borderId="37" xfId="0" applyNumberFormat="1" applyFont="1" applyBorder="1" applyAlignment="1">
      <alignment vertical="top" wrapText="1"/>
    </xf>
    <xf numFmtId="166" fontId="3" fillId="0" borderId="27" xfId="0" applyNumberFormat="1" applyFont="1" applyBorder="1" applyAlignment="1">
      <alignment vertical="top" wrapText="1"/>
    </xf>
    <xf numFmtId="171" fontId="2" fillId="0" borderId="8" xfId="0" applyNumberFormat="1" applyFont="1" applyFill="1" applyBorder="1" applyAlignment="1">
      <alignment horizontal="center" vertical="top" wrapText="1"/>
    </xf>
    <xf numFmtId="171" fontId="2" fillId="0" borderId="9" xfId="0" applyNumberFormat="1" applyFont="1" applyFill="1" applyBorder="1" applyAlignment="1">
      <alignment horizontal="center" vertical="top" wrapText="1"/>
    </xf>
    <xf numFmtId="166" fontId="2" fillId="0" borderId="8" xfId="0" applyNumberFormat="1" applyFont="1" applyBorder="1" applyAlignment="1">
      <alignment horizontal="center" vertical="top" wrapText="1"/>
    </xf>
    <xf numFmtId="166" fontId="2" fillId="0" borderId="9" xfId="0" applyNumberFormat="1" applyFont="1" applyBorder="1" applyAlignment="1">
      <alignment horizontal="center" vertical="top" wrapText="1"/>
    </xf>
    <xf numFmtId="166" fontId="2" fillId="0" borderId="13" xfId="0" applyNumberFormat="1" applyFont="1" applyBorder="1" applyAlignment="1">
      <alignment horizontal="center" vertical="top" wrapText="1"/>
    </xf>
    <xf numFmtId="166" fontId="2" fillId="0" borderId="40" xfId="0" applyNumberFormat="1" applyFont="1" applyBorder="1" applyAlignment="1">
      <alignment horizontal="center" vertical="top" wrapText="1"/>
    </xf>
    <xf numFmtId="166" fontId="2" fillId="0" borderId="4" xfId="0" applyNumberFormat="1" applyFont="1" applyBorder="1" applyAlignment="1">
      <alignment horizontal="center" vertical="top" wrapText="1"/>
    </xf>
    <xf numFmtId="166" fontId="2" fillId="0" borderId="5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171" fontId="2" fillId="0" borderId="4" xfId="1" applyNumberFormat="1" applyFont="1" applyFill="1" applyBorder="1" applyAlignment="1">
      <alignment horizontal="center" vertical="top" wrapText="1"/>
    </xf>
    <xf numFmtId="171" fontId="2" fillId="0" borderId="5" xfId="1" applyNumberFormat="1" applyFont="1" applyFill="1" applyBorder="1" applyAlignment="1">
      <alignment horizontal="center" vertical="top" wrapText="1"/>
    </xf>
    <xf numFmtId="166" fontId="3" fillId="0" borderId="0" xfId="0" applyNumberFormat="1" applyFont="1" applyAlignment="1">
      <alignment horizontal="center" vertical="top" wrapText="1"/>
    </xf>
    <xf numFmtId="168" fontId="3" fillId="0" borderId="38" xfId="1" applyNumberFormat="1" applyFont="1" applyFill="1" applyBorder="1" applyAlignment="1">
      <alignment horizontal="center" vertical="center" wrapText="1"/>
    </xf>
    <xf numFmtId="168" fontId="4" fillId="0" borderId="18" xfId="1" applyNumberFormat="1" applyFont="1" applyFill="1" applyBorder="1" applyAlignment="1">
      <alignment horizontal="center" vertical="center" wrapText="1"/>
    </xf>
    <xf numFmtId="168" fontId="4" fillId="0" borderId="16" xfId="1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left" vertical="top" wrapText="1"/>
    </xf>
    <xf numFmtId="166" fontId="3" fillId="0" borderId="35" xfId="0" applyNumberFormat="1" applyFont="1" applyBorder="1" applyAlignment="1">
      <alignment horizontal="left" vertical="top" wrapText="1"/>
    </xf>
    <xf numFmtId="166" fontId="3" fillId="0" borderId="39" xfId="0" applyNumberFormat="1" applyFont="1" applyBorder="1" applyAlignment="1">
      <alignment horizontal="left" vertical="top" wrapText="1"/>
    </xf>
    <xf numFmtId="166" fontId="3" fillId="0" borderId="38" xfId="0" applyNumberFormat="1" applyFont="1" applyBorder="1" applyAlignment="1">
      <alignment horizontal="left" vertical="top" wrapText="1"/>
    </xf>
    <xf numFmtId="166" fontId="3" fillId="0" borderId="17" xfId="0" applyNumberFormat="1" applyFont="1" applyBorder="1" applyAlignment="1">
      <alignment horizontal="left" vertical="top" wrapText="1"/>
    </xf>
    <xf numFmtId="166" fontId="3" fillId="0" borderId="0" xfId="0" applyNumberFormat="1" applyFont="1" applyBorder="1" applyAlignment="1">
      <alignment horizontal="left" vertical="top" wrapText="1"/>
    </xf>
    <xf numFmtId="166" fontId="3" fillId="0" borderId="18" xfId="0" applyNumberFormat="1" applyFont="1" applyBorder="1" applyAlignment="1">
      <alignment horizontal="left" vertical="top" wrapText="1"/>
    </xf>
    <xf numFmtId="166" fontId="3" fillId="0" borderId="35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1" fontId="4" fillId="3" borderId="30" xfId="0" applyNumberFormat="1" applyFont="1" applyFill="1" applyBorder="1" applyAlignment="1">
      <alignment horizontal="right" vertical="top" wrapText="1"/>
    </xf>
    <xf numFmtId="1" fontId="4" fillId="3" borderId="31" xfId="0" applyNumberFormat="1" applyFont="1" applyFill="1" applyBorder="1" applyAlignment="1">
      <alignment horizontal="right" vertical="top" wrapText="1"/>
    </xf>
    <xf numFmtId="1" fontId="4" fillId="3" borderId="15" xfId="0" applyNumberFormat="1" applyFont="1" applyFill="1" applyBorder="1" applyAlignment="1">
      <alignment horizontal="right" vertical="top" wrapText="1"/>
    </xf>
    <xf numFmtId="1" fontId="4" fillId="3" borderId="14" xfId="0" applyNumberFormat="1" applyFont="1" applyFill="1" applyBorder="1" applyAlignment="1">
      <alignment horizontal="right" vertical="top" wrapText="1"/>
    </xf>
    <xf numFmtId="168" fontId="3" fillId="0" borderId="1" xfId="1" applyNumberFormat="1" applyFont="1" applyBorder="1" applyAlignment="1">
      <alignment vertical="center" wrapText="1"/>
    </xf>
    <xf numFmtId="168" fontId="3" fillId="0" borderId="6" xfId="1" applyNumberFormat="1" applyFont="1" applyBorder="1" applyAlignment="1">
      <alignment vertical="center" wrapText="1"/>
    </xf>
    <xf numFmtId="168" fontId="3" fillId="0" borderId="18" xfId="1" applyNumberFormat="1" applyFont="1" applyFill="1" applyBorder="1" applyAlignment="1">
      <alignment horizontal="center" vertical="center" wrapText="1"/>
    </xf>
    <xf numFmtId="168" fontId="3" fillId="0" borderId="16" xfId="1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168" fontId="2" fillId="0" borderId="10" xfId="1" applyNumberFormat="1" applyFont="1" applyBorder="1" applyAlignment="1">
      <alignment horizontal="center" vertical="center" wrapText="1"/>
    </xf>
    <xf numFmtId="168" fontId="2" fillId="0" borderId="26" xfId="1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166" fontId="3" fillId="0" borderId="19" xfId="0" applyNumberFormat="1" applyFont="1" applyFill="1" applyBorder="1" applyAlignment="1">
      <alignment horizontal="left" vertical="center" wrapText="1"/>
    </xf>
    <xf numFmtId="166" fontId="3" fillId="0" borderId="22" xfId="0" applyNumberFormat="1" applyFont="1" applyFill="1" applyBorder="1" applyAlignment="1">
      <alignment horizontal="left" vertical="center" wrapText="1"/>
    </xf>
    <xf numFmtId="166" fontId="3" fillId="0" borderId="28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168" fontId="2" fillId="0" borderId="21" xfId="1" applyNumberFormat="1" applyFont="1" applyBorder="1" applyAlignment="1">
      <alignment horizontal="center" vertical="center" wrapText="1"/>
    </xf>
    <xf numFmtId="168" fontId="2" fillId="0" borderId="24" xfId="1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left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234083</xdr:colOff>
      <xdr:row>0</xdr:row>
      <xdr:rowOff>189346</xdr:rowOff>
    </xdr:from>
    <xdr:to>
      <xdr:col>1</xdr:col>
      <xdr:colOff>2596283</xdr:colOff>
      <xdr:row>4</xdr:row>
      <xdr:rowOff>76553</xdr:rowOff>
    </xdr:to>
    <xdr:pic>
      <xdr:nvPicPr>
        <xdr:cNvPr id="2" name="1 Imagen" descr="SENAL RADIONICA 1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727" b="23574"/>
        <a:stretch>
          <a:fillRect/>
        </a:stretch>
      </xdr:blipFill>
      <xdr:spPr>
        <a:xfrm>
          <a:off x="4044083" y="189346"/>
          <a:ext cx="2362200" cy="998457"/>
        </a:xfrm>
        <a:prstGeom prst="rect">
          <a:avLst/>
        </a:prstGeom>
      </xdr:spPr>
    </xdr:pic>
    <xdr:clientData/>
  </xdr:twoCellAnchor>
  <xdr:twoCellAnchor editAs="oneCell">
    <xdr:from>
      <xdr:col>2</xdr:col>
      <xdr:colOff>536865</xdr:colOff>
      <xdr:row>0</xdr:row>
      <xdr:rowOff>190500</xdr:rowOff>
    </xdr:from>
    <xdr:to>
      <xdr:col>2</xdr:col>
      <xdr:colOff>3051464</xdr:colOff>
      <xdr:row>4</xdr:row>
      <xdr:rowOff>47073</xdr:rowOff>
    </xdr:to>
    <xdr:pic>
      <xdr:nvPicPr>
        <xdr:cNvPr id="3" name="2 Imagen" descr="SENAL RADIO COLOM-01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25624" b="25579"/>
        <a:stretch>
          <a:fillRect/>
        </a:stretch>
      </xdr:blipFill>
      <xdr:spPr>
        <a:xfrm>
          <a:off x="7547265" y="190500"/>
          <a:ext cx="2666999" cy="970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7"/>
  <sheetViews>
    <sheetView tabSelected="1" zoomScale="60" zoomScaleNormal="60" workbookViewId="0">
      <selection activeCell="A6" sqref="A6:G6"/>
    </sheetView>
  </sheetViews>
  <sheetFormatPr baseColWidth="10" defaultColWidth="10.85546875" defaultRowHeight="22.5" customHeight="1" x14ac:dyDescent="0.3"/>
  <cols>
    <col min="1" max="1" width="57.140625" style="1" bestFit="1" customWidth="1"/>
    <col min="2" max="2" width="48" style="1" customWidth="1"/>
    <col min="3" max="3" width="65.28515625" style="1" customWidth="1"/>
    <col min="4" max="4" width="15.42578125" style="2" bestFit="1" customWidth="1"/>
    <col min="5" max="5" width="18.5703125" style="2" customWidth="1"/>
    <col min="6" max="6" width="18" style="4" customWidth="1"/>
    <col min="7" max="7" width="16.140625" style="4" bestFit="1" customWidth="1"/>
    <col min="8" max="8" width="10.85546875" style="5"/>
    <col min="9" max="9" width="16.5703125" style="5" bestFit="1" customWidth="1"/>
    <col min="10" max="16384" width="10.85546875" style="5"/>
  </cols>
  <sheetData>
    <row r="2" spans="1:7" ht="20.25" x14ac:dyDescent="0.3">
      <c r="E2" s="3"/>
    </row>
    <row r="5" spans="1:7" ht="20.25" x14ac:dyDescent="0.3"/>
    <row r="6" spans="1:7" ht="20.25" x14ac:dyDescent="0.3">
      <c r="A6" s="137" t="s">
        <v>155</v>
      </c>
      <c r="B6" s="137"/>
      <c r="C6" s="137"/>
      <c r="D6" s="137"/>
      <c r="E6" s="137"/>
      <c r="F6" s="137"/>
      <c r="G6" s="137"/>
    </row>
    <row r="7" spans="1:7" ht="20.25" x14ac:dyDescent="0.3"/>
    <row r="8" spans="1:7" ht="20.25" x14ac:dyDescent="0.3">
      <c r="A8" s="141" t="s">
        <v>131</v>
      </c>
      <c r="B8" s="141"/>
      <c r="C8" s="141"/>
      <c r="D8" s="141"/>
      <c r="E8" s="141"/>
      <c r="F8" s="141"/>
      <c r="G8" s="141"/>
    </row>
    <row r="9" spans="1:7" ht="20.25" x14ac:dyDescent="0.3">
      <c r="A9" s="141" t="s">
        <v>132</v>
      </c>
      <c r="B9" s="141"/>
      <c r="C9" s="141"/>
      <c r="D9" s="141"/>
      <c r="E9" s="141"/>
      <c r="F9" s="141"/>
      <c r="G9" s="141"/>
    </row>
    <row r="10" spans="1:7" ht="20.25" x14ac:dyDescent="0.3">
      <c r="A10" s="141" t="s">
        <v>133</v>
      </c>
      <c r="B10" s="141"/>
      <c r="C10" s="141"/>
      <c r="D10" s="141"/>
      <c r="E10" s="141"/>
      <c r="F10" s="141"/>
      <c r="G10" s="141"/>
    </row>
    <row r="11" spans="1:7" ht="21" thickBot="1" x14ac:dyDescent="0.35">
      <c r="A11" s="6"/>
      <c r="B11" s="6"/>
      <c r="C11" s="6"/>
      <c r="D11" s="101"/>
      <c r="E11" s="101"/>
      <c r="F11" s="102"/>
      <c r="G11" s="102"/>
    </row>
    <row r="12" spans="1:7" ht="20.25" x14ac:dyDescent="0.3">
      <c r="A12" s="142" t="s">
        <v>134</v>
      </c>
      <c r="B12" s="143"/>
      <c r="C12" s="143"/>
      <c r="D12" s="143"/>
      <c r="E12" s="143"/>
      <c r="F12" s="143"/>
      <c r="G12" s="144"/>
    </row>
    <row r="13" spans="1:7" ht="20.25" x14ac:dyDescent="0.3">
      <c r="A13" s="145" t="s">
        <v>135</v>
      </c>
      <c r="B13" s="146"/>
      <c r="C13" s="146"/>
      <c r="D13" s="146"/>
      <c r="E13" s="146"/>
      <c r="F13" s="146"/>
      <c r="G13" s="147"/>
    </row>
    <row r="14" spans="1:7" ht="20.25" x14ac:dyDescent="0.3">
      <c r="A14" s="145" t="s">
        <v>136</v>
      </c>
      <c r="B14" s="146"/>
      <c r="C14" s="146"/>
      <c r="D14" s="146"/>
      <c r="E14" s="146"/>
      <c r="F14" s="146"/>
      <c r="G14" s="147"/>
    </row>
    <row r="15" spans="1:7" ht="20.25" x14ac:dyDescent="0.3">
      <c r="A15" s="103"/>
      <c r="B15" s="104"/>
      <c r="C15" s="104"/>
      <c r="D15" s="105"/>
      <c r="E15" s="105"/>
      <c r="F15" s="106"/>
      <c r="G15" s="107"/>
    </row>
    <row r="16" spans="1:7" ht="20.25" x14ac:dyDescent="0.3">
      <c r="A16" s="145" t="s">
        <v>154</v>
      </c>
      <c r="B16" s="146"/>
      <c r="C16" s="146"/>
      <c r="D16" s="146"/>
      <c r="E16" s="146"/>
      <c r="F16" s="146"/>
      <c r="G16" s="147"/>
    </row>
    <row r="17" spans="1:7" ht="21" thickBot="1" x14ac:dyDescent="0.35">
      <c r="A17" s="108" t="s">
        <v>137</v>
      </c>
      <c r="B17" s="109"/>
      <c r="C17" s="109"/>
      <c r="D17" s="109"/>
      <c r="E17" s="109"/>
      <c r="F17" s="109"/>
      <c r="G17" s="110"/>
    </row>
    <row r="18" spans="1:7" ht="20.25" x14ac:dyDescent="0.3"/>
    <row r="19" spans="1:7" ht="20.25" x14ac:dyDescent="0.3">
      <c r="A19" s="137" t="s">
        <v>130</v>
      </c>
      <c r="B19" s="137"/>
      <c r="C19" s="137"/>
      <c r="D19" s="137"/>
      <c r="E19" s="137"/>
      <c r="F19" s="137"/>
      <c r="G19" s="137"/>
    </row>
    <row r="20" spans="1:7" ht="21" thickBot="1" x14ac:dyDescent="0.35">
      <c r="B20" s="7"/>
    </row>
    <row r="21" spans="1:7" s="12" customFormat="1" ht="61.5" thickBot="1" x14ac:dyDescent="0.3">
      <c r="A21" s="8" t="s">
        <v>0</v>
      </c>
      <c r="B21" s="9" t="s">
        <v>1</v>
      </c>
      <c r="C21" s="10" t="s">
        <v>2</v>
      </c>
      <c r="D21" s="10" t="s">
        <v>3</v>
      </c>
      <c r="E21" s="10" t="s">
        <v>138</v>
      </c>
      <c r="F21" s="11" t="s">
        <v>139</v>
      </c>
      <c r="G21" s="11" t="s">
        <v>4</v>
      </c>
    </row>
    <row r="22" spans="1:7" ht="40.5" x14ac:dyDescent="0.3">
      <c r="A22" s="163" t="s">
        <v>5</v>
      </c>
      <c r="B22" s="13" t="s">
        <v>6</v>
      </c>
      <c r="C22" s="14" t="s">
        <v>7</v>
      </c>
      <c r="D22" s="15">
        <v>1</v>
      </c>
      <c r="E22" s="111">
        <f>+(1500000+600000+1350000)/3</f>
        <v>1150000</v>
      </c>
      <c r="F22" s="16"/>
      <c r="G22" s="138" t="s">
        <v>125</v>
      </c>
    </row>
    <row r="23" spans="1:7" ht="40.5" x14ac:dyDescent="0.3">
      <c r="A23" s="164"/>
      <c r="B23" s="18" t="s">
        <v>8</v>
      </c>
      <c r="C23" s="19" t="s">
        <v>9</v>
      </c>
      <c r="D23" s="20">
        <v>1</v>
      </c>
      <c r="E23" s="112">
        <f>+(750000+1000000+1125000)/3</f>
        <v>958333.33333333337</v>
      </c>
      <c r="F23" s="21"/>
      <c r="G23" s="139"/>
    </row>
    <row r="24" spans="1:7" ht="40.5" x14ac:dyDescent="0.3">
      <c r="A24" s="164"/>
      <c r="B24" s="18" t="s">
        <v>10</v>
      </c>
      <c r="C24" s="19" t="s">
        <v>11</v>
      </c>
      <c r="D24" s="20">
        <v>1</v>
      </c>
      <c r="E24" s="112">
        <f>+(750000+400000+1125000)/3</f>
        <v>758333.33333333337</v>
      </c>
      <c r="F24" s="21"/>
      <c r="G24" s="139"/>
    </row>
    <row r="25" spans="1:7" ht="20.25" x14ac:dyDescent="0.3">
      <c r="A25" s="164"/>
      <c r="B25" s="18" t="s">
        <v>12</v>
      </c>
      <c r="C25" s="19" t="s">
        <v>13</v>
      </c>
      <c r="D25" s="20">
        <v>1</v>
      </c>
      <c r="E25" s="112">
        <f>+(500000+1000000+825000)/3</f>
        <v>775000</v>
      </c>
      <c r="F25" s="21"/>
      <c r="G25" s="139"/>
    </row>
    <row r="26" spans="1:7" ht="20.25" x14ac:dyDescent="0.3">
      <c r="A26" s="164"/>
      <c r="B26" s="18" t="s">
        <v>14</v>
      </c>
      <c r="C26" s="19" t="s">
        <v>15</v>
      </c>
      <c r="D26" s="20">
        <v>1</v>
      </c>
      <c r="E26" s="112">
        <f>+(500000+900000+500000)/3</f>
        <v>633333.33333333337</v>
      </c>
      <c r="F26" s="21"/>
      <c r="G26" s="139"/>
    </row>
    <row r="27" spans="1:7" ht="20.25" x14ac:dyDescent="0.3">
      <c r="A27" s="164"/>
      <c r="B27" s="18" t="s">
        <v>16</v>
      </c>
      <c r="C27" s="19"/>
      <c r="D27" s="20">
        <v>1</v>
      </c>
      <c r="E27" s="112">
        <f>+(600000+1000000+250000)/3</f>
        <v>616666.66666666663</v>
      </c>
      <c r="F27" s="21"/>
      <c r="G27" s="139"/>
    </row>
    <row r="28" spans="1:7" ht="20.25" x14ac:dyDescent="0.3">
      <c r="A28" s="164"/>
      <c r="B28" s="18" t="s">
        <v>17</v>
      </c>
      <c r="C28" s="19" t="s">
        <v>18</v>
      </c>
      <c r="D28" s="20">
        <v>1</v>
      </c>
      <c r="E28" s="112">
        <f>+(825000+100000+400000)/3</f>
        <v>441666.66666666669</v>
      </c>
      <c r="F28" s="21"/>
      <c r="G28" s="139"/>
    </row>
    <row r="29" spans="1:7" ht="20.25" x14ac:dyDescent="0.3">
      <c r="A29" s="164"/>
      <c r="B29" s="18" t="s">
        <v>19</v>
      </c>
      <c r="C29" s="23" t="s">
        <v>20</v>
      </c>
      <c r="D29" s="20">
        <v>1</v>
      </c>
      <c r="E29" s="112">
        <f>+(825000+300000+400000)/3</f>
        <v>508333.33333333331</v>
      </c>
      <c r="F29" s="21"/>
      <c r="G29" s="139"/>
    </row>
    <row r="30" spans="1:7" ht="20.25" x14ac:dyDescent="0.3">
      <c r="A30" s="164"/>
      <c r="B30" s="18" t="s">
        <v>21</v>
      </c>
      <c r="C30" s="23" t="s">
        <v>22</v>
      </c>
      <c r="D30" s="20">
        <v>1</v>
      </c>
      <c r="E30" s="112">
        <f>+(825000+300000+400000)/3</f>
        <v>508333.33333333331</v>
      </c>
      <c r="F30" s="21"/>
      <c r="G30" s="139"/>
    </row>
    <row r="31" spans="1:7" ht="20.25" x14ac:dyDescent="0.3">
      <c r="A31" s="164"/>
      <c r="B31" s="18" t="s">
        <v>23</v>
      </c>
      <c r="C31" s="23"/>
      <c r="D31" s="20">
        <v>50</v>
      </c>
      <c r="E31" s="112">
        <f>+(90000+55000+65000)/3</f>
        <v>70000</v>
      </c>
      <c r="F31" s="21"/>
      <c r="G31" s="139"/>
    </row>
    <row r="32" spans="1:7" ht="20.25" x14ac:dyDescent="0.3">
      <c r="A32" s="164"/>
      <c r="B32" s="18" t="s">
        <v>24</v>
      </c>
      <c r="C32" s="23"/>
      <c r="D32" s="20">
        <v>6</v>
      </c>
      <c r="E32" s="112">
        <f>+(150000+65000+65000)/3</f>
        <v>93333.333333333328</v>
      </c>
      <c r="F32" s="21"/>
      <c r="G32" s="139"/>
    </row>
    <row r="33" spans="1:9" ht="20.25" x14ac:dyDescent="0.3">
      <c r="A33" s="164"/>
      <c r="B33" s="18" t="s">
        <v>25</v>
      </c>
      <c r="C33" s="23"/>
      <c r="D33" s="20">
        <v>5</v>
      </c>
      <c r="E33" s="112">
        <f>+(150000+65000+95000)/3</f>
        <v>103333.33333333333</v>
      </c>
      <c r="F33" s="21"/>
      <c r="G33" s="139"/>
    </row>
    <row r="34" spans="1:9" ht="40.5" x14ac:dyDescent="0.3">
      <c r="A34" s="164"/>
      <c r="B34" s="18" t="s">
        <v>26</v>
      </c>
      <c r="C34" s="19" t="s">
        <v>27</v>
      </c>
      <c r="D34" s="20">
        <v>10</v>
      </c>
      <c r="E34" s="112">
        <f>+(135000+50000+150000)/3</f>
        <v>111666.66666666667</v>
      </c>
      <c r="F34" s="21"/>
      <c r="G34" s="139"/>
    </row>
    <row r="35" spans="1:9" s="28" customFormat="1" ht="21" thickBot="1" x14ac:dyDescent="0.35">
      <c r="A35" s="165"/>
      <c r="B35" s="24" t="s">
        <v>28</v>
      </c>
      <c r="C35" s="25" t="s">
        <v>29</v>
      </c>
      <c r="D35" s="26">
        <v>1</v>
      </c>
      <c r="E35" s="112">
        <f>+(225000+55000)/3</f>
        <v>93333.333333333328</v>
      </c>
      <c r="F35" s="27"/>
      <c r="G35" s="139"/>
      <c r="I35" s="116"/>
    </row>
    <row r="36" spans="1:9" ht="21" thickBot="1" x14ac:dyDescent="0.35">
      <c r="A36" s="150" t="s">
        <v>4</v>
      </c>
      <c r="B36" s="151"/>
      <c r="C36" s="151"/>
      <c r="D36" s="151"/>
      <c r="E36" s="151"/>
      <c r="F36" s="100">
        <f>SUM(F22:F35)</f>
        <v>0</v>
      </c>
      <c r="G36" s="140"/>
    </row>
    <row r="37" spans="1:9" s="28" customFormat="1" ht="21" thickBot="1" x14ac:dyDescent="0.35">
      <c r="A37" s="29"/>
      <c r="B37" s="30"/>
      <c r="C37" s="30"/>
      <c r="D37" s="30"/>
      <c r="E37" s="30"/>
      <c r="F37" s="31"/>
      <c r="G37" s="32"/>
    </row>
    <row r="38" spans="1:9" s="12" customFormat="1" ht="61.5" thickBot="1" x14ac:dyDescent="0.3">
      <c r="A38" s="8" t="s">
        <v>0</v>
      </c>
      <c r="B38" s="9" t="s">
        <v>1</v>
      </c>
      <c r="C38" s="10" t="s">
        <v>2</v>
      </c>
      <c r="D38" s="10" t="s">
        <v>3</v>
      </c>
      <c r="E38" s="10" t="s">
        <v>138</v>
      </c>
      <c r="F38" s="11" t="s">
        <v>139</v>
      </c>
      <c r="G38" s="11" t="s">
        <v>4</v>
      </c>
    </row>
    <row r="39" spans="1:9" ht="20.25" x14ac:dyDescent="0.3">
      <c r="A39" s="166" t="s">
        <v>30</v>
      </c>
      <c r="B39" s="169" t="s">
        <v>31</v>
      </c>
      <c r="C39" s="33" t="s">
        <v>32</v>
      </c>
      <c r="D39" s="15" t="s">
        <v>140</v>
      </c>
      <c r="E39" s="172">
        <f>+(3250000+4480000+3300000)/3</f>
        <v>3676666.6666666665</v>
      </c>
      <c r="F39" s="172"/>
      <c r="G39" s="138" t="s">
        <v>126</v>
      </c>
    </row>
    <row r="40" spans="1:9" ht="20.25" x14ac:dyDescent="0.3">
      <c r="A40" s="167"/>
      <c r="B40" s="170"/>
      <c r="C40" s="19" t="s">
        <v>33</v>
      </c>
      <c r="D40" s="20" t="s">
        <v>140</v>
      </c>
      <c r="E40" s="173"/>
      <c r="F40" s="173"/>
      <c r="G40" s="139"/>
    </row>
    <row r="41" spans="1:9" ht="20.25" x14ac:dyDescent="0.3">
      <c r="A41" s="167"/>
      <c r="B41" s="171"/>
      <c r="C41" s="19" t="s">
        <v>34</v>
      </c>
      <c r="D41" s="20" t="s">
        <v>140</v>
      </c>
      <c r="E41" s="162"/>
      <c r="F41" s="162"/>
      <c r="G41" s="139"/>
    </row>
    <row r="42" spans="1:9" ht="20.25" x14ac:dyDescent="0.3">
      <c r="A42" s="167"/>
      <c r="B42" s="174" t="s">
        <v>35</v>
      </c>
      <c r="C42" s="19" t="s">
        <v>36</v>
      </c>
      <c r="D42" s="20" t="s">
        <v>140</v>
      </c>
      <c r="E42" s="21">
        <f>+(46000+80000)/2</f>
        <v>63000</v>
      </c>
      <c r="F42" s="21"/>
      <c r="G42" s="139"/>
    </row>
    <row r="43" spans="1:9" ht="20.25" x14ac:dyDescent="0.3">
      <c r="A43" s="167"/>
      <c r="B43" s="174"/>
      <c r="C43" s="19" t="s">
        <v>37</v>
      </c>
      <c r="D43" s="20" t="s">
        <v>140</v>
      </c>
      <c r="E43" s="21">
        <f>+(23000+150000)/2</f>
        <v>86500</v>
      </c>
      <c r="F43" s="21"/>
      <c r="G43" s="139"/>
    </row>
    <row r="44" spans="1:9" ht="21" thickBot="1" x14ac:dyDescent="0.35">
      <c r="A44" s="168"/>
      <c r="B44" s="34" t="s">
        <v>38</v>
      </c>
      <c r="C44" s="35" t="s">
        <v>39</v>
      </c>
      <c r="D44" s="36">
        <v>1</v>
      </c>
      <c r="E44" s="37">
        <f>+(300000+175000+180000)/3</f>
        <v>218333.33333333334</v>
      </c>
      <c r="F44" s="37"/>
      <c r="G44" s="139"/>
      <c r="I44" s="59"/>
    </row>
    <row r="45" spans="1:9" ht="21" thickBot="1" x14ac:dyDescent="0.35">
      <c r="A45" s="150" t="s">
        <v>4</v>
      </c>
      <c r="B45" s="151"/>
      <c r="C45" s="151"/>
      <c r="D45" s="151"/>
      <c r="E45" s="151"/>
      <c r="F45" s="100">
        <f>SUM(F39:F44)</f>
        <v>0</v>
      </c>
      <c r="G45" s="139"/>
    </row>
    <row r="46" spans="1:9" s="39" customFormat="1" ht="21" thickBot="1" x14ac:dyDescent="0.35">
      <c r="A46" s="30"/>
      <c r="B46" s="30"/>
      <c r="C46" s="30"/>
      <c r="D46" s="30"/>
      <c r="E46" s="30"/>
      <c r="F46" s="30"/>
      <c r="G46" s="38"/>
    </row>
    <row r="47" spans="1:9" s="12" customFormat="1" ht="61.5" thickBot="1" x14ac:dyDescent="0.3">
      <c r="A47" s="9" t="s">
        <v>0</v>
      </c>
      <c r="B47" s="9" t="s">
        <v>1</v>
      </c>
      <c r="C47" s="40" t="s">
        <v>2</v>
      </c>
      <c r="D47" s="40" t="s">
        <v>3</v>
      </c>
      <c r="E47" s="10" t="s">
        <v>138</v>
      </c>
      <c r="F47" s="11" t="s">
        <v>139</v>
      </c>
      <c r="G47" s="41" t="s">
        <v>4</v>
      </c>
    </row>
    <row r="48" spans="1:9" ht="20.25" x14ac:dyDescent="0.3">
      <c r="A48" s="158" t="s">
        <v>40</v>
      </c>
      <c r="B48" s="42" t="s">
        <v>41</v>
      </c>
      <c r="C48" s="43" t="s">
        <v>42</v>
      </c>
      <c r="D48" s="15">
        <v>1</v>
      </c>
      <c r="E48" s="21">
        <f>+(5600000+6480000+6480000)/3</f>
        <v>6186666.666666667</v>
      </c>
      <c r="F48" s="16"/>
      <c r="G48" s="138" t="s">
        <v>127</v>
      </c>
    </row>
    <row r="49" spans="1:7" ht="60.75" x14ac:dyDescent="0.3">
      <c r="A49" s="159"/>
      <c r="B49" s="44" t="s">
        <v>43</v>
      </c>
      <c r="C49" s="45" t="s">
        <v>44</v>
      </c>
      <c r="D49" s="20">
        <v>1</v>
      </c>
      <c r="E49" s="21">
        <f>+(6300000+8150000+6500000)/3</f>
        <v>6983333.333333333</v>
      </c>
      <c r="F49" s="21"/>
      <c r="G49" s="139"/>
    </row>
    <row r="50" spans="1:7" ht="121.5" x14ac:dyDescent="0.3">
      <c r="A50" s="159"/>
      <c r="B50" s="160" t="s">
        <v>45</v>
      </c>
      <c r="C50" s="45" t="s">
        <v>46</v>
      </c>
      <c r="D50" s="20">
        <v>1</v>
      </c>
      <c r="E50" s="21">
        <f>+(480000+450000)/2</f>
        <v>465000</v>
      </c>
      <c r="F50" s="21"/>
      <c r="G50" s="139"/>
    </row>
    <row r="51" spans="1:7" ht="20.25" x14ac:dyDescent="0.3">
      <c r="A51" s="159"/>
      <c r="B51" s="160"/>
      <c r="C51" s="45" t="s">
        <v>47</v>
      </c>
      <c r="D51" s="20">
        <v>1</v>
      </c>
      <c r="E51" s="21">
        <f>+(180000+250000)/2</f>
        <v>215000</v>
      </c>
      <c r="F51" s="21"/>
      <c r="G51" s="139"/>
    </row>
    <row r="52" spans="1:7" ht="20.25" x14ac:dyDescent="0.3">
      <c r="A52" s="159"/>
      <c r="B52" s="160"/>
      <c r="C52" s="45" t="s">
        <v>48</v>
      </c>
      <c r="D52" s="20">
        <v>1</v>
      </c>
      <c r="E52" s="21">
        <f>+(240000+250000)/2</f>
        <v>245000</v>
      </c>
      <c r="F52" s="21"/>
      <c r="G52" s="139"/>
    </row>
    <row r="53" spans="1:7" ht="20.25" x14ac:dyDescent="0.3">
      <c r="A53" s="159"/>
      <c r="B53" s="160"/>
      <c r="C53" s="45" t="s">
        <v>49</v>
      </c>
      <c r="D53" s="20">
        <v>1</v>
      </c>
      <c r="E53" s="21">
        <f>+(240000+250000)/2</f>
        <v>245000</v>
      </c>
      <c r="F53" s="21"/>
      <c r="G53" s="139"/>
    </row>
    <row r="54" spans="1:7" ht="20.25" x14ac:dyDescent="0.3">
      <c r="A54" s="159"/>
      <c r="B54" s="160"/>
      <c r="C54" s="45" t="s">
        <v>50</v>
      </c>
      <c r="D54" s="20">
        <v>1</v>
      </c>
      <c r="E54" s="21">
        <f>+(860000+450000)/2</f>
        <v>655000</v>
      </c>
      <c r="F54" s="21"/>
      <c r="G54" s="139"/>
    </row>
    <row r="55" spans="1:7" ht="20.25" x14ac:dyDescent="0.3">
      <c r="A55" s="159"/>
      <c r="B55" s="160"/>
      <c r="C55" s="45" t="s">
        <v>51</v>
      </c>
      <c r="D55" s="20">
        <v>1</v>
      </c>
      <c r="E55" s="21">
        <f>+(72000+50000)/2</f>
        <v>61000</v>
      </c>
      <c r="F55" s="21"/>
      <c r="G55" s="139"/>
    </row>
    <row r="56" spans="1:7" ht="20.25" x14ac:dyDescent="0.3">
      <c r="A56" s="159"/>
      <c r="B56" s="160"/>
      <c r="C56" s="45" t="s">
        <v>52</v>
      </c>
      <c r="D56" s="20">
        <v>1</v>
      </c>
      <c r="E56" s="21">
        <f>+(50000+50000)/2</f>
        <v>50000</v>
      </c>
      <c r="F56" s="21"/>
      <c r="G56" s="139"/>
    </row>
    <row r="57" spans="1:7" ht="20.25" x14ac:dyDescent="0.3">
      <c r="A57" s="159"/>
      <c r="B57" s="160"/>
      <c r="C57" s="45" t="s">
        <v>53</v>
      </c>
      <c r="D57" s="20">
        <v>1</v>
      </c>
      <c r="E57" s="21">
        <f>+(50000+50000)/2</f>
        <v>50000</v>
      </c>
      <c r="F57" s="21"/>
      <c r="G57" s="139"/>
    </row>
    <row r="58" spans="1:7" ht="20.25" x14ac:dyDescent="0.3">
      <c r="A58" s="159"/>
      <c r="B58" s="160"/>
      <c r="C58" s="45" t="s">
        <v>54</v>
      </c>
      <c r="D58" s="20">
        <v>1</v>
      </c>
      <c r="E58" s="21">
        <f>+(300000+275000)/2</f>
        <v>287500</v>
      </c>
      <c r="F58" s="21"/>
      <c r="G58" s="139"/>
    </row>
    <row r="59" spans="1:7" ht="20.25" x14ac:dyDescent="0.3">
      <c r="A59" s="159"/>
      <c r="B59" s="160"/>
      <c r="C59" s="45" t="s">
        <v>55</v>
      </c>
      <c r="D59" s="20">
        <v>1</v>
      </c>
      <c r="E59" s="21">
        <f>+(360000+275000)/2</f>
        <v>317500</v>
      </c>
      <c r="F59" s="21"/>
      <c r="G59" s="139"/>
    </row>
    <row r="60" spans="1:7" ht="20.25" x14ac:dyDescent="0.3">
      <c r="A60" s="159"/>
      <c r="B60" s="160"/>
      <c r="C60" s="45" t="s">
        <v>56</v>
      </c>
      <c r="D60" s="20">
        <v>1</v>
      </c>
      <c r="E60" s="21">
        <f>+(240000+180000)/2</f>
        <v>210000</v>
      </c>
      <c r="F60" s="21"/>
      <c r="G60" s="139"/>
    </row>
    <row r="61" spans="1:7" ht="20.25" x14ac:dyDescent="0.3">
      <c r="A61" s="159"/>
      <c r="B61" s="160"/>
      <c r="C61" s="45" t="s">
        <v>57</v>
      </c>
      <c r="D61" s="20">
        <v>1</v>
      </c>
      <c r="E61" s="21">
        <f>+(840000+1000000)/2</f>
        <v>920000</v>
      </c>
      <c r="F61" s="21"/>
      <c r="G61" s="139"/>
    </row>
    <row r="62" spans="1:7" ht="20.25" x14ac:dyDescent="0.3">
      <c r="A62" s="159"/>
      <c r="B62" s="160"/>
      <c r="C62" s="45" t="s">
        <v>58</v>
      </c>
      <c r="D62" s="20">
        <v>1</v>
      </c>
      <c r="E62" s="21">
        <f>+(240000+200000)/2</f>
        <v>220000</v>
      </c>
      <c r="F62" s="21"/>
      <c r="G62" s="139"/>
    </row>
    <row r="63" spans="1:7" ht="20.25" x14ac:dyDescent="0.3">
      <c r="A63" s="159"/>
      <c r="B63" s="160"/>
      <c r="C63" s="45" t="s">
        <v>59</v>
      </c>
      <c r="D63" s="20">
        <v>1</v>
      </c>
      <c r="E63" s="21">
        <f>+(70000+20000)/2</f>
        <v>45000</v>
      </c>
      <c r="F63" s="21"/>
      <c r="G63" s="139"/>
    </row>
    <row r="64" spans="1:7" ht="20.25" x14ac:dyDescent="0.3">
      <c r="A64" s="159"/>
      <c r="B64" s="160"/>
      <c r="C64" s="45" t="s">
        <v>60</v>
      </c>
      <c r="D64" s="20">
        <v>1</v>
      </c>
      <c r="E64" s="21">
        <v>240000</v>
      </c>
      <c r="F64" s="21"/>
      <c r="G64" s="139"/>
    </row>
    <row r="65" spans="1:7" ht="20.25" x14ac:dyDescent="0.3">
      <c r="A65" s="159"/>
      <c r="B65" s="160"/>
      <c r="C65" s="45" t="s">
        <v>61</v>
      </c>
      <c r="D65" s="20">
        <v>1</v>
      </c>
      <c r="E65" s="21">
        <f>+(240000+200000)/2</f>
        <v>220000</v>
      </c>
      <c r="F65" s="21"/>
      <c r="G65" s="139"/>
    </row>
    <row r="66" spans="1:7" ht="81" x14ac:dyDescent="0.3">
      <c r="A66" s="159"/>
      <c r="B66" s="44" t="s">
        <v>62</v>
      </c>
      <c r="C66" s="45" t="s">
        <v>63</v>
      </c>
      <c r="D66" s="20">
        <v>1</v>
      </c>
      <c r="E66" s="21">
        <f>+(2100000+1200000+600000)/3</f>
        <v>1300000</v>
      </c>
      <c r="F66" s="46"/>
      <c r="G66" s="139"/>
    </row>
    <row r="67" spans="1:7" ht="81" x14ac:dyDescent="0.3">
      <c r="A67" s="159"/>
      <c r="B67" s="47" t="s">
        <v>64</v>
      </c>
      <c r="C67" s="48" t="s">
        <v>65</v>
      </c>
      <c r="D67" s="20">
        <v>1</v>
      </c>
      <c r="E67" s="21">
        <f>+(2100000+1200000+600000)/3</f>
        <v>1300000</v>
      </c>
      <c r="F67" s="46"/>
      <c r="G67" s="139"/>
    </row>
    <row r="68" spans="1:7" ht="40.5" x14ac:dyDescent="0.3">
      <c r="A68" s="159"/>
      <c r="B68" s="47" t="s">
        <v>66</v>
      </c>
      <c r="C68" s="48" t="s">
        <v>67</v>
      </c>
      <c r="D68" s="20">
        <v>1</v>
      </c>
      <c r="E68" s="21">
        <f>+(325000+238000+240000)/3</f>
        <v>267666.66666666669</v>
      </c>
      <c r="F68" s="46"/>
      <c r="G68" s="139"/>
    </row>
    <row r="69" spans="1:7" ht="60.75" x14ac:dyDescent="0.3">
      <c r="A69" s="159"/>
      <c r="B69" s="47" t="s">
        <v>68</v>
      </c>
      <c r="C69" s="48" t="s">
        <v>69</v>
      </c>
      <c r="D69" s="20">
        <v>1</v>
      </c>
      <c r="E69" s="21">
        <f>+(325000+263000+240000)/3</f>
        <v>276000</v>
      </c>
      <c r="F69" s="46"/>
      <c r="G69" s="139"/>
    </row>
    <row r="70" spans="1:7" ht="40.5" x14ac:dyDescent="0.3">
      <c r="A70" s="159"/>
      <c r="B70" s="47" t="s">
        <v>70</v>
      </c>
      <c r="C70" s="48" t="s">
        <v>71</v>
      </c>
      <c r="D70" s="20">
        <v>1</v>
      </c>
      <c r="E70" s="21">
        <f>+(112000+240000+240000)/3</f>
        <v>197333.33333333334</v>
      </c>
      <c r="F70" s="46"/>
      <c r="G70" s="139"/>
    </row>
    <row r="71" spans="1:7" ht="20.25" x14ac:dyDescent="0.3">
      <c r="A71" s="159"/>
      <c r="B71" s="47" t="s">
        <v>72</v>
      </c>
      <c r="C71" s="48" t="s">
        <v>73</v>
      </c>
      <c r="D71" s="20">
        <v>1</v>
      </c>
      <c r="E71" s="21">
        <f>+(112000+240000+150000)/3</f>
        <v>167333.33333333334</v>
      </c>
      <c r="F71" s="46"/>
      <c r="G71" s="139"/>
    </row>
    <row r="72" spans="1:7" ht="20.25" x14ac:dyDescent="0.3">
      <c r="A72" s="159"/>
      <c r="B72" s="47" t="s">
        <v>74</v>
      </c>
      <c r="C72" s="48" t="s">
        <v>73</v>
      </c>
      <c r="D72" s="20">
        <v>1</v>
      </c>
      <c r="E72" s="21">
        <f>+(130000+300000+240000)/3</f>
        <v>223333.33333333334</v>
      </c>
      <c r="F72" s="46"/>
      <c r="G72" s="139"/>
    </row>
    <row r="73" spans="1:7" ht="60.75" x14ac:dyDescent="0.3">
      <c r="A73" s="159"/>
      <c r="B73" s="47" t="s">
        <v>75</v>
      </c>
      <c r="C73" s="48" t="s">
        <v>76</v>
      </c>
      <c r="D73" s="20">
        <v>1</v>
      </c>
      <c r="E73" s="21">
        <f>+(650000+2400000+1250000)/3</f>
        <v>1433333.3333333333</v>
      </c>
      <c r="F73" s="46"/>
      <c r="G73" s="139"/>
    </row>
    <row r="74" spans="1:7" ht="40.5" x14ac:dyDescent="0.3">
      <c r="A74" s="159"/>
      <c r="B74" s="47" t="s">
        <v>77</v>
      </c>
      <c r="C74" s="48" t="s">
        <v>78</v>
      </c>
      <c r="D74" s="20">
        <v>1</v>
      </c>
      <c r="E74" s="21">
        <f>+(520000+600000+500000)/3</f>
        <v>540000</v>
      </c>
      <c r="F74" s="46"/>
      <c r="G74" s="139"/>
    </row>
    <row r="75" spans="1:7" s="50" customFormat="1" ht="20.25" x14ac:dyDescent="0.25">
      <c r="A75" s="159"/>
      <c r="B75" s="160" t="s">
        <v>79</v>
      </c>
      <c r="C75" s="49" t="s">
        <v>80</v>
      </c>
      <c r="D75" s="20">
        <v>1</v>
      </c>
      <c r="E75" s="21">
        <f>+(84000+96000)/2</f>
        <v>90000</v>
      </c>
      <c r="F75" s="161"/>
      <c r="G75" s="139"/>
    </row>
    <row r="76" spans="1:7" s="50" customFormat="1" ht="20.25" x14ac:dyDescent="0.25">
      <c r="A76" s="159"/>
      <c r="B76" s="160"/>
      <c r="C76" s="51" t="s">
        <v>81</v>
      </c>
      <c r="D76" s="20">
        <v>1</v>
      </c>
      <c r="E76" s="21">
        <f>+(84000+145000)/2</f>
        <v>114500</v>
      </c>
      <c r="F76" s="162"/>
      <c r="G76" s="139"/>
    </row>
    <row r="77" spans="1:7" s="50" customFormat="1" ht="20.25" x14ac:dyDescent="0.25">
      <c r="A77" s="159"/>
      <c r="B77" s="160"/>
      <c r="C77" s="51" t="s">
        <v>82</v>
      </c>
      <c r="D77" s="20">
        <v>1</v>
      </c>
      <c r="E77" s="21">
        <f>+(56000+25000+20000)/3</f>
        <v>33666.666666666664</v>
      </c>
      <c r="F77" s="46"/>
      <c r="G77" s="139"/>
    </row>
    <row r="78" spans="1:7" s="50" customFormat="1" ht="20.25" x14ac:dyDescent="0.25">
      <c r="A78" s="159"/>
      <c r="B78" s="160"/>
      <c r="C78" s="51" t="s">
        <v>83</v>
      </c>
      <c r="D78" s="20">
        <v>1</v>
      </c>
      <c r="E78" s="21">
        <f>+(210000+97000+100000)/3</f>
        <v>135666.66666666666</v>
      </c>
      <c r="F78" s="46"/>
      <c r="G78" s="139"/>
    </row>
    <row r="79" spans="1:7" s="50" customFormat="1" ht="20.25" x14ac:dyDescent="0.25">
      <c r="A79" s="159"/>
      <c r="B79" s="160"/>
      <c r="C79" s="51" t="s">
        <v>84</v>
      </c>
      <c r="D79" s="20">
        <v>1</v>
      </c>
      <c r="E79" s="21">
        <f>+(350000+240000)/3</f>
        <v>196666.66666666666</v>
      </c>
      <c r="F79" s="46"/>
      <c r="G79" s="139"/>
    </row>
    <row r="80" spans="1:7" s="50" customFormat="1" ht="20.25" x14ac:dyDescent="0.25">
      <c r="A80" s="159"/>
      <c r="B80" s="160"/>
      <c r="C80" s="51" t="s">
        <v>85</v>
      </c>
      <c r="D80" s="20">
        <v>1</v>
      </c>
      <c r="E80" s="21">
        <f>+(350000+540000+220000)/3</f>
        <v>370000</v>
      </c>
      <c r="F80" s="46"/>
      <c r="G80" s="139"/>
    </row>
    <row r="81" spans="1:7" s="50" customFormat="1" ht="20.25" x14ac:dyDescent="0.25">
      <c r="A81" s="159"/>
      <c r="B81" s="160"/>
      <c r="C81" s="51" t="s">
        <v>86</v>
      </c>
      <c r="D81" s="20">
        <v>1</v>
      </c>
      <c r="E81" s="21">
        <f>+(280000+240000+32000)/3</f>
        <v>184000</v>
      </c>
      <c r="F81" s="46"/>
      <c r="G81" s="139"/>
    </row>
    <row r="82" spans="1:7" s="50" customFormat="1" ht="20.25" x14ac:dyDescent="0.25">
      <c r="A82" s="159"/>
      <c r="B82" s="160"/>
      <c r="C82" s="51" t="s">
        <v>87</v>
      </c>
      <c r="D82" s="20">
        <v>1</v>
      </c>
      <c r="E82" s="21">
        <f>+(350000+1200000+400000)/3</f>
        <v>650000</v>
      </c>
      <c r="F82" s="46"/>
      <c r="G82" s="139"/>
    </row>
    <row r="83" spans="1:7" s="50" customFormat="1" ht="20.25" x14ac:dyDescent="0.25">
      <c r="A83" s="159"/>
      <c r="B83" s="160"/>
      <c r="C83" s="51" t="s">
        <v>88</v>
      </c>
      <c r="D83" s="20">
        <v>1</v>
      </c>
      <c r="E83" s="21">
        <f>+(240000+960000+240000)/3</f>
        <v>480000</v>
      </c>
      <c r="F83" s="46"/>
      <c r="G83" s="139"/>
    </row>
    <row r="84" spans="1:7" s="50" customFormat="1" ht="20.25" x14ac:dyDescent="0.25">
      <c r="A84" s="159"/>
      <c r="B84" s="160"/>
      <c r="C84" s="51" t="s">
        <v>89</v>
      </c>
      <c r="D84" s="20">
        <v>1</v>
      </c>
      <c r="E84" s="21">
        <f>+(600000+720000+350000)/3</f>
        <v>556666.66666666663</v>
      </c>
      <c r="F84" s="46"/>
      <c r="G84" s="139"/>
    </row>
    <row r="85" spans="1:7" s="50" customFormat="1" ht="20.25" x14ac:dyDescent="0.25">
      <c r="A85" s="159"/>
      <c r="B85" s="160"/>
      <c r="C85" s="51" t="s">
        <v>90</v>
      </c>
      <c r="D85" s="20">
        <v>1</v>
      </c>
      <c r="E85" s="21">
        <f>+(105000+121000+80000)/3</f>
        <v>102000</v>
      </c>
      <c r="F85" s="46"/>
      <c r="G85" s="139"/>
    </row>
    <row r="86" spans="1:7" s="50" customFormat="1" ht="20.25" x14ac:dyDescent="0.25">
      <c r="A86" s="159"/>
      <c r="B86" s="160"/>
      <c r="C86" s="51" t="s">
        <v>91</v>
      </c>
      <c r="D86" s="20">
        <v>1</v>
      </c>
      <c r="E86" s="21">
        <f>+(420000+240000+350000)/3</f>
        <v>336666.66666666669</v>
      </c>
      <c r="F86" s="46"/>
      <c r="G86" s="139"/>
    </row>
    <row r="87" spans="1:7" s="50" customFormat="1" ht="20.25" x14ac:dyDescent="0.25">
      <c r="A87" s="159"/>
      <c r="B87" s="160"/>
      <c r="C87" s="51" t="s">
        <v>92</v>
      </c>
      <c r="D87" s="20">
        <v>1</v>
      </c>
      <c r="E87" s="21">
        <f>+(70000+550000)/3</f>
        <v>206666.66666666666</v>
      </c>
      <c r="F87" s="52"/>
      <c r="G87" s="139"/>
    </row>
    <row r="88" spans="1:7" s="50" customFormat="1" ht="20.25" x14ac:dyDescent="0.25">
      <c r="A88" s="159"/>
      <c r="B88" s="160"/>
      <c r="C88" s="51" t="s">
        <v>93</v>
      </c>
      <c r="D88" s="20">
        <v>1</v>
      </c>
      <c r="E88" s="21">
        <f>+(210000+363000+120000)/3</f>
        <v>231000</v>
      </c>
      <c r="F88" s="53"/>
      <c r="G88" s="139"/>
    </row>
    <row r="89" spans="1:7" s="50" customFormat="1" ht="20.25" x14ac:dyDescent="0.25">
      <c r="A89" s="159"/>
      <c r="B89" s="54" t="s">
        <v>94</v>
      </c>
      <c r="C89" s="51" t="s">
        <v>95</v>
      </c>
      <c r="D89" s="20">
        <v>1</v>
      </c>
      <c r="E89" s="21">
        <f>+(16250000+19200000+8960000)/3</f>
        <v>14803333.333333334</v>
      </c>
      <c r="F89" s="53"/>
      <c r="G89" s="139"/>
    </row>
    <row r="90" spans="1:7" s="50" customFormat="1" ht="40.5" customHeight="1" x14ac:dyDescent="0.25">
      <c r="A90" s="159"/>
      <c r="B90" s="54" t="s">
        <v>96</v>
      </c>
      <c r="C90" s="51" t="s">
        <v>97</v>
      </c>
      <c r="D90" s="20">
        <v>1</v>
      </c>
      <c r="E90" s="21">
        <f>+(700000+1500000+1600000)/3</f>
        <v>1266666.6666666667</v>
      </c>
      <c r="F90" s="53"/>
      <c r="G90" s="139"/>
    </row>
    <row r="91" spans="1:7" ht="20.25" x14ac:dyDescent="0.3">
      <c r="A91" s="159"/>
      <c r="B91" s="55" t="s">
        <v>98</v>
      </c>
      <c r="C91" s="45" t="s">
        <v>99</v>
      </c>
      <c r="D91" s="20">
        <v>1</v>
      </c>
      <c r="E91" s="21">
        <f>+(210000+800000)/3</f>
        <v>336666.66666666669</v>
      </c>
      <c r="F91" s="53"/>
      <c r="G91" s="139"/>
    </row>
    <row r="92" spans="1:7" ht="22.5" customHeight="1" x14ac:dyDescent="0.3">
      <c r="A92" s="159"/>
      <c r="B92" s="55" t="s">
        <v>100</v>
      </c>
      <c r="C92" s="56"/>
      <c r="D92" s="20">
        <v>1</v>
      </c>
      <c r="E92" s="21">
        <f>+(39000+30000)/2</f>
        <v>34500</v>
      </c>
      <c r="F92" s="52"/>
      <c r="G92" s="139"/>
    </row>
    <row r="93" spans="1:7" ht="22.5" customHeight="1" x14ac:dyDescent="0.3">
      <c r="A93" s="159"/>
      <c r="B93" s="55" t="s">
        <v>101</v>
      </c>
      <c r="C93" s="45" t="s">
        <v>102</v>
      </c>
      <c r="D93" s="20">
        <v>1</v>
      </c>
      <c r="E93" s="21">
        <f>+(650000+800000+550000)/3</f>
        <v>666666.66666666663</v>
      </c>
      <c r="F93" s="52"/>
      <c r="G93" s="139"/>
    </row>
    <row r="94" spans="1:7" ht="22.5" customHeight="1" x14ac:dyDescent="0.3">
      <c r="A94" s="159"/>
      <c r="B94" s="55" t="s">
        <v>101</v>
      </c>
      <c r="C94" s="45" t="s">
        <v>103</v>
      </c>
      <c r="D94" s="20">
        <v>1</v>
      </c>
      <c r="E94" s="21">
        <f>+(1040000+1450000+1800000)/3</f>
        <v>1430000</v>
      </c>
      <c r="F94" s="52"/>
      <c r="G94" s="139"/>
    </row>
    <row r="95" spans="1:7" ht="22.5" customHeight="1" x14ac:dyDescent="0.3">
      <c r="A95" s="159"/>
      <c r="B95" s="55" t="s">
        <v>101</v>
      </c>
      <c r="C95" s="45" t="s">
        <v>104</v>
      </c>
      <c r="D95" s="20">
        <v>1</v>
      </c>
      <c r="E95" s="21">
        <f>+(1300000+1950000+5200000)/3</f>
        <v>2816666.6666666665</v>
      </c>
      <c r="F95" s="52"/>
      <c r="G95" s="139"/>
    </row>
    <row r="96" spans="1:7" ht="22.5" customHeight="1" x14ac:dyDescent="0.3">
      <c r="A96" s="159"/>
      <c r="B96" s="55" t="s">
        <v>105</v>
      </c>
      <c r="C96" s="45" t="s">
        <v>106</v>
      </c>
      <c r="D96" s="20">
        <v>1</v>
      </c>
      <c r="E96" s="21">
        <f>+(42000+20000+15000)/3</f>
        <v>25666.666666666668</v>
      </c>
      <c r="F96" s="52"/>
      <c r="G96" s="139"/>
    </row>
    <row r="97" spans="1:13" ht="22.5" customHeight="1" x14ac:dyDescent="0.3">
      <c r="A97" s="159"/>
      <c r="B97" s="55" t="s">
        <v>107</v>
      </c>
      <c r="C97" s="45" t="s">
        <v>108</v>
      </c>
      <c r="D97" s="20">
        <v>1</v>
      </c>
      <c r="E97" s="21">
        <f>+(280000+150000+266666)/3</f>
        <v>232222</v>
      </c>
      <c r="F97" s="52"/>
      <c r="G97" s="139"/>
      <c r="M97" s="57"/>
    </row>
    <row r="98" spans="1:13" ht="22.5" customHeight="1" x14ac:dyDescent="0.3">
      <c r="A98" s="159"/>
      <c r="B98" s="55" t="s">
        <v>109</v>
      </c>
      <c r="C98" s="56"/>
      <c r="D98" s="20">
        <v>1</v>
      </c>
      <c r="E98" s="21">
        <f>+(14000+6500)/2</f>
        <v>10250</v>
      </c>
      <c r="F98" s="52"/>
      <c r="G98" s="139"/>
    </row>
    <row r="99" spans="1:13" ht="22.5" customHeight="1" thickBot="1" x14ac:dyDescent="0.35">
      <c r="A99" s="159"/>
      <c r="B99" s="58" t="s">
        <v>110</v>
      </c>
      <c r="C99" s="56"/>
      <c r="D99" s="20">
        <v>1</v>
      </c>
      <c r="E99" s="21">
        <f>+(210000+60000+120000)/3</f>
        <v>130000</v>
      </c>
      <c r="F99" s="52"/>
      <c r="G99" s="139"/>
      <c r="I99" s="59"/>
    </row>
    <row r="100" spans="1:13" ht="22.5" customHeight="1" thickBot="1" x14ac:dyDescent="0.35">
      <c r="A100" s="150" t="s">
        <v>4</v>
      </c>
      <c r="B100" s="151"/>
      <c r="C100" s="151"/>
      <c r="D100" s="151"/>
      <c r="E100" s="151"/>
      <c r="F100" s="100">
        <f>SUM(F48:F99)</f>
        <v>0</v>
      </c>
      <c r="G100" s="140"/>
    </row>
    <row r="101" spans="1:13" ht="22.5" customHeight="1" thickBot="1" x14ac:dyDescent="0.35">
      <c r="A101" s="29"/>
      <c r="B101" s="30"/>
      <c r="C101" s="30"/>
      <c r="D101" s="30"/>
      <c r="E101" s="30"/>
      <c r="F101" s="31"/>
      <c r="G101" s="32"/>
    </row>
    <row r="102" spans="1:13" ht="61.5" thickBot="1" x14ac:dyDescent="0.35">
      <c r="A102" s="41" t="s">
        <v>0</v>
      </c>
      <c r="B102" s="41" t="s">
        <v>1</v>
      </c>
      <c r="C102" s="11" t="s">
        <v>2</v>
      </c>
      <c r="D102" s="41" t="s">
        <v>3</v>
      </c>
      <c r="E102" s="10" t="s">
        <v>138</v>
      </c>
      <c r="F102" s="11" t="s">
        <v>139</v>
      </c>
      <c r="G102" s="41" t="s">
        <v>4</v>
      </c>
    </row>
    <row r="103" spans="1:13" ht="22.5" customHeight="1" x14ac:dyDescent="0.3">
      <c r="A103" s="154" t="s">
        <v>20</v>
      </c>
      <c r="B103" s="60" t="s">
        <v>141</v>
      </c>
      <c r="C103" s="113"/>
      <c r="D103" s="61">
        <v>1</v>
      </c>
      <c r="E103" s="21">
        <f>+(11000+8000)/2</f>
        <v>9500</v>
      </c>
      <c r="F103" s="62"/>
      <c r="G103" s="138" t="s">
        <v>129</v>
      </c>
    </row>
    <row r="104" spans="1:13" ht="20.25" x14ac:dyDescent="0.3">
      <c r="A104" s="155"/>
      <c r="B104" s="65" t="s">
        <v>111</v>
      </c>
      <c r="C104" s="114"/>
      <c r="D104" s="63">
        <v>1</v>
      </c>
      <c r="E104" s="21">
        <f>+(13000+7000)/2</f>
        <v>10000</v>
      </c>
      <c r="F104" s="64"/>
      <c r="G104" s="156"/>
    </row>
    <row r="105" spans="1:13" ht="20.25" x14ac:dyDescent="0.3">
      <c r="A105" s="155"/>
      <c r="B105" s="65" t="s">
        <v>112</v>
      </c>
      <c r="C105" s="114" t="s">
        <v>142</v>
      </c>
      <c r="D105" s="63">
        <v>1</v>
      </c>
      <c r="E105" s="21">
        <f>+(2000+1000)/2</f>
        <v>1500</v>
      </c>
      <c r="F105" s="64"/>
      <c r="G105" s="156"/>
    </row>
    <row r="106" spans="1:13" ht="20.25" x14ac:dyDescent="0.3">
      <c r="A106" s="155"/>
      <c r="B106" s="65" t="s">
        <v>113</v>
      </c>
      <c r="C106" s="114"/>
      <c r="D106" s="63">
        <v>1</v>
      </c>
      <c r="E106" s="21">
        <f>+(12000+3000)/2</f>
        <v>7500</v>
      </c>
      <c r="F106" s="64"/>
      <c r="G106" s="156"/>
    </row>
    <row r="107" spans="1:13" ht="20.25" x14ac:dyDescent="0.3">
      <c r="A107" s="155"/>
      <c r="B107" s="66" t="s">
        <v>114</v>
      </c>
      <c r="C107" s="114"/>
      <c r="D107" s="63">
        <v>1</v>
      </c>
      <c r="E107" s="21">
        <f>+(12000+3500)/2</f>
        <v>7750</v>
      </c>
      <c r="F107" s="64"/>
      <c r="G107" s="156"/>
    </row>
    <row r="108" spans="1:13" ht="20.25" x14ac:dyDescent="0.3">
      <c r="A108" s="155"/>
      <c r="B108" s="65" t="s">
        <v>143</v>
      </c>
      <c r="C108" s="21"/>
      <c r="D108" s="63">
        <v>1</v>
      </c>
      <c r="E108" s="21">
        <f>+(15000+4000)/2</f>
        <v>9500</v>
      </c>
      <c r="F108" s="64"/>
      <c r="G108" s="156"/>
    </row>
    <row r="109" spans="1:13" ht="20.25" x14ac:dyDescent="0.3">
      <c r="A109" s="155"/>
      <c r="B109" s="66" t="s">
        <v>115</v>
      </c>
      <c r="C109" s="21"/>
      <c r="D109" s="63">
        <v>1</v>
      </c>
      <c r="E109" s="21">
        <f>+(23000+8600)/2</f>
        <v>15800</v>
      </c>
      <c r="F109" s="64"/>
      <c r="G109" s="156"/>
    </row>
    <row r="110" spans="1:13" ht="20.25" x14ac:dyDescent="0.3">
      <c r="A110" s="155"/>
      <c r="B110" s="66" t="s">
        <v>144</v>
      </c>
      <c r="C110" s="21"/>
      <c r="D110" s="63">
        <v>1</v>
      </c>
      <c r="E110" s="21">
        <f>+(15000+4000)/2</f>
        <v>9500</v>
      </c>
      <c r="F110" s="64"/>
      <c r="G110" s="156"/>
    </row>
    <row r="111" spans="1:13" ht="21" thickBot="1" x14ac:dyDescent="0.35">
      <c r="A111" s="155"/>
      <c r="B111" s="66" t="s">
        <v>116</v>
      </c>
      <c r="C111" s="21" t="s">
        <v>145</v>
      </c>
      <c r="D111" s="63">
        <v>1</v>
      </c>
      <c r="E111" s="21">
        <f>+(2000+1500)/2</f>
        <v>1750</v>
      </c>
      <c r="F111" s="64"/>
      <c r="G111" s="156"/>
    </row>
    <row r="112" spans="1:13" ht="21" thickBot="1" x14ac:dyDescent="0.35">
      <c r="A112" s="150" t="s">
        <v>4</v>
      </c>
      <c r="B112" s="151"/>
      <c r="C112" s="152"/>
      <c r="D112" s="151"/>
      <c r="E112" s="151"/>
      <c r="F112" s="100">
        <f>SUM(F103:F111)</f>
        <v>0</v>
      </c>
      <c r="G112" s="157"/>
      <c r="I112" s="59"/>
    </row>
    <row r="113" spans="1:9" ht="21" thickBot="1" x14ac:dyDescent="0.35">
      <c r="A113" s="67"/>
      <c r="B113" s="68"/>
      <c r="C113" s="68"/>
      <c r="D113" s="68"/>
      <c r="E113" s="68"/>
      <c r="F113" s="69"/>
      <c r="G113" s="32"/>
    </row>
    <row r="114" spans="1:9" s="12" customFormat="1" ht="61.5" thickBot="1" x14ac:dyDescent="0.3">
      <c r="A114" s="11" t="s">
        <v>0</v>
      </c>
      <c r="B114" s="11" t="s">
        <v>1</v>
      </c>
      <c r="C114" s="11" t="s">
        <v>2</v>
      </c>
      <c r="D114" s="11" t="s">
        <v>3</v>
      </c>
      <c r="E114" s="10" t="s">
        <v>138</v>
      </c>
      <c r="F114" s="11" t="s">
        <v>139</v>
      </c>
      <c r="G114" s="11" t="s">
        <v>4</v>
      </c>
    </row>
    <row r="115" spans="1:9" ht="20.25" x14ac:dyDescent="0.3">
      <c r="A115" s="148" t="s">
        <v>117</v>
      </c>
      <c r="B115" s="99" t="s">
        <v>118</v>
      </c>
      <c r="C115" s="70" t="s">
        <v>119</v>
      </c>
      <c r="D115" s="71">
        <v>1</v>
      </c>
      <c r="E115" s="21">
        <f>+(110000+52000)/2</f>
        <v>81000</v>
      </c>
      <c r="F115" s="62"/>
      <c r="G115" s="138" t="s">
        <v>128</v>
      </c>
    </row>
    <row r="116" spans="1:9" ht="20.25" x14ac:dyDescent="0.3">
      <c r="A116" s="149"/>
      <c r="B116" s="74" t="s">
        <v>118</v>
      </c>
      <c r="C116" s="73" t="s">
        <v>120</v>
      </c>
      <c r="D116" s="72">
        <v>1</v>
      </c>
      <c r="E116" s="21">
        <f>+(250000+100000)/2</f>
        <v>175000</v>
      </c>
      <c r="F116" s="52"/>
      <c r="G116" s="139"/>
    </row>
    <row r="117" spans="1:9" ht="21" thickBot="1" x14ac:dyDescent="0.35">
      <c r="A117" s="149"/>
      <c r="B117" s="75" t="s">
        <v>121</v>
      </c>
      <c r="C117" s="45" t="s">
        <v>122</v>
      </c>
      <c r="D117" s="20">
        <v>1</v>
      </c>
      <c r="E117" s="21">
        <f>+(140000+48000)/2</f>
        <v>94000</v>
      </c>
      <c r="F117" s="21"/>
      <c r="G117" s="139"/>
    </row>
    <row r="118" spans="1:9" s="28" customFormat="1" ht="21" thickBot="1" x14ac:dyDescent="0.35">
      <c r="A118" s="153" t="s">
        <v>4</v>
      </c>
      <c r="B118" s="152"/>
      <c r="C118" s="152"/>
      <c r="D118" s="152"/>
      <c r="E118" s="152"/>
      <c r="F118" s="100">
        <f>SUM(F115:F117)</f>
        <v>0</v>
      </c>
      <c r="G118" s="140"/>
      <c r="I118" s="115"/>
    </row>
    <row r="119" spans="1:9" ht="21" thickBot="1" x14ac:dyDescent="0.35">
      <c r="F119" s="38"/>
      <c r="G119" s="38"/>
    </row>
    <row r="120" spans="1:9" s="81" customFormat="1" ht="21" thickBot="1" x14ac:dyDescent="0.35">
      <c r="A120" s="76" t="s">
        <v>0</v>
      </c>
      <c r="B120" s="77" t="s">
        <v>4</v>
      </c>
      <c r="C120" s="78"/>
      <c r="D120" s="78"/>
      <c r="E120" s="79"/>
      <c r="F120" s="80"/>
      <c r="G120" s="80"/>
    </row>
    <row r="121" spans="1:9" ht="20.25" x14ac:dyDescent="0.3">
      <c r="A121" s="82" t="s">
        <v>123</v>
      </c>
      <c r="B121" s="17">
        <f>F36</f>
        <v>0</v>
      </c>
      <c r="C121" s="83"/>
      <c r="D121" s="84"/>
      <c r="E121" s="85"/>
      <c r="F121" s="86"/>
      <c r="G121" s="87"/>
      <c r="I121" s="117"/>
    </row>
    <row r="122" spans="1:9" ht="20.25" x14ac:dyDescent="0.3">
      <c r="A122" s="88" t="s">
        <v>124</v>
      </c>
      <c r="B122" s="22">
        <f>F45</f>
        <v>0</v>
      </c>
      <c r="C122" s="83"/>
      <c r="D122" s="84"/>
      <c r="E122" s="85"/>
      <c r="F122" s="86"/>
      <c r="G122" s="89"/>
    </row>
    <row r="123" spans="1:9" ht="20.25" x14ac:dyDescent="0.3">
      <c r="A123" s="88" t="s">
        <v>40</v>
      </c>
      <c r="B123" s="22">
        <f>F100</f>
        <v>0</v>
      </c>
      <c r="C123" s="83"/>
      <c r="D123" s="84"/>
      <c r="E123" s="85"/>
      <c r="F123" s="86"/>
      <c r="G123" s="89"/>
    </row>
    <row r="124" spans="1:9" ht="20.25" x14ac:dyDescent="0.3">
      <c r="A124" s="88" t="s">
        <v>20</v>
      </c>
      <c r="B124" s="22">
        <f>F112</f>
        <v>0</v>
      </c>
      <c r="C124" s="83"/>
      <c r="D124" s="84"/>
      <c r="E124" s="85"/>
      <c r="F124" s="86"/>
      <c r="G124" s="89"/>
    </row>
    <row r="125" spans="1:9" ht="20.25" x14ac:dyDescent="0.3">
      <c r="A125" s="88" t="s">
        <v>117</v>
      </c>
      <c r="B125" s="22">
        <f>F118</f>
        <v>0</v>
      </c>
      <c r="C125" s="83"/>
      <c r="D125" s="84"/>
      <c r="E125" s="85"/>
      <c r="F125" s="90"/>
    </row>
    <row r="126" spans="1:9" ht="21" thickBot="1" x14ac:dyDescent="0.35">
      <c r="A126" s="91" t="s">
        <v>4</v>
      </c>
      <c r="B126" s="92">
        <f>SUM(B121:B125)</f>
        <v>0</v>
      </c>
      <c r="C126" s="83"/>
      <c r="D126" s="84"/>
      <c r="E126" s="93"/>
      <c r="F126" s="86"/>
      <c r="G126" s="89"/>
    </row>
    <row r="127" spans="1:9" s="39" customFormat="1" ht="21" thickBot="1" x14ac:dyDescent="0.35">
      <c r="A127" s="94"/>
      <c r="B127" s="38"/>
      <c r="C127" s="83"/>
      <c r="D127" s="84"/>
      <c r="E127" s="95"/>
      <c r="F127" s="86"/>
      <c r="G127" s="87"/>
    </row>
    <row r="128" spans="1:9" ht="20.25" x14ac:dyDescent="0.3">
      <c r="A128" s="121" t="s">
        <v>146</v>
      </c>
      <c r="B128" s="129"/>
      <c r="C128" s="129"/>
      <c r="D128" s="129"/>
      <c r="E128" s="129"/>
      <c r="F128" s="129"/>
      <c r="G128" s="130"/>
    </row>
    <row r="129" spans="1:7" ht="20.25" x14ac:dyDescent="0.3">
      <c r="A129" s="122" t="s">
        <v>147</v>
      </c>
      <c r="B129" s="125"/>
      <c r="C129" s="125"/>
      <c r="D129" s="125"/>
      <c r="E129" s="125"/>
      <c r="F129" s="125"/>
      <c r="G129" s="126"/>
    </row>
    <row r="130" spans="1:7" ht="20.25" x14ac:dyDescent="0.3">
      <c r="A130" s="119" t="s">
        <v>148</v>
      </c>
      <c r="B130" s="131"/>
      <c r="C130" s="131"/>
      <c r="D130" s="131"/>
      <c r="E130" s="131"/>
      <c r="F130" s="131"/>
      <c r="G130" s="132"/>
    </row>
    <row r="131" spans="1:7" ht="21" thickBot="1" x14ac:dyDescent="0.35">
      <c r="A131" s="120" t="s">
        <v>146</v>
      </c>
      <c r="B131" s="133"/>
      <c r="C131" s="133"/>
      <c r="D131" s="133"/>
      <c r="E131" s="133"/>
      <c r="F131" s="133"/>
      <c r="G131" s="134"/>
    </row>
    <row r="132" spans="1:7" ht="21" thickBot="1" x14ac:dyDescent="0.35">
      <c r="A132" s="96"/>
      <c r="B132" s="97"/>
      <c r="C132" s="98"/>
    </row>
    <row r="133" spans="1:7" ht="20.25" x14ac:dyDescent="0.3">
      <c r="A133" s="118" t="s">
        <v>149</v>
      </c>
      <c r="B133" s="135"/>
      <c r="C133" s="135"/>
      <c r="D133" s="135"/>
      <c r="E133" s="135"/>
      <c r="F133" s="135"/>
      <c r="G133" s="136"/>
    </row>
    <row r="134" spans="1:7" ht="20.25" x14ac:dyDescent="0.3">
      <c r="A134" s="119" t="s">
        <v>150</v>
      </c>
      <c r="B134" s="123"/>
      <c r="C134" s="123"/>
      <c r="D134" s="123"/>
      <c r="E134" s="123"/>
      <c r="F134" s="123"/>
      <c r="G134" s="124"/>
    </row>
    <row r="135" spans="1:7" ht="22.5" customHeight="1" x14ac:dyDescent="0.3">
      <c r="A135" s="119" t="s">
        <v>151</v>
      </c>
      <c r="B135" s="125"/>
      <c r="C135" s="125"/>
      <c r="D135" s="125"/>
      <c r="E135" s="125"/>
      <c r="F135" s="125"/>
      <c r="G135" s="126"/>
    </row>
    <row r="136" spans="1:7" ht="22.5" customHeight="1" x14ac:dyDescent="0.3">
      <c r="A136" s="119" t="s">
        <v>152</v>
      </c>
      <c r="B136" s="125"/>
      <c r="C136" s="125"/>
      <c r="D136" s="125"/>
      <c r="E136" s="125"/>
      <c r="F136" s="125"/>
      <c r="G136" s="126"/>
    </row>
    <row r="137" spans="1:7" ht="22.5" customHeight="1" thickBot="1" x14ac:dyDescent="0.35">
      <c r="A137" s="120" t="s">
        <v>153</v>
      </c>
      <c r="B137" s="127"/>
      <c r="C137" s="127"/>
      <c r="D137" s="127"/>
      <c r="E137" s="127"/>
      <c r="F137" s="127"/>
      <c r="G137" s="128"/>
    </row>
  </sheetData>
  <mergeCells count="40">
    <mergeCell ref="A19:G19"/>
    <mergeCell ref="A22:A35"/>
    <mergeCell ref="A39:A44"/>
    <mergeCell ref="B39:B41"/>
    <mergeCell ref="E39:E41"/>
    <mergeCell ref="F39:F41"/>
    <mergeCell ref="B42:B43"/>
    <mergeCell ref="A36:E36"/>
    <mergeCell ref="G22:G36"/>
    <mergeCell ref="G39:G45"/>
    <mergeCell ref="A48:A99"/>
    <mergeCell ref="B50:B65"/>
    <mergeCell ref="B75:B88"/>
    <mergeCell ref="F75:F76"/>
    <mergeCell ref="A45:E45"/>
    <mergeCell ref="A6:G6"/>
    <mergeCell ref="G115:G118"/>
    <mergeCell ref="A8:G8"/>
    <mergeCell ref="A9:G9"/>
    <mergeCell ref="A10:G10"/>
    <mergeCell ref="A12:G12"/>
    <mergeCell ref="A13:G13"/>
    <mergeCell ref="A14:G14"/>
    <mergeCell ref="A16:G16"/>
    <mergeCell ref="A115:A117"/>
    <mergeCell ref="A112:E112"/>
    <mergeCell ref="A118:E118"/>
    <mergeCell ref="A103:A111"/>
    <mergeCell ref="A100:E100"/>
    <mergeCell ref="G48:G100"/>
    <mergeCell ref="G103:G112"/>
    <mergeCell ref="B134:G134"/>
    <mergeCell ref="B135:G135"/>
    <mergeCell ref="B136:G136"/>
    <mergeCell ref="B137:G137"/>
    <mergeCell ref="B128:G128"/>
    <mergeCell ref="B129:G129"/>
    <mergeCell ref="B130:G130"/>
    <mergeCell ref="B131:G131"/>
    <mergeCell ref="B133:G133"/>
  </mergeCells>
  <pageMargins left="0.70866141732283472" right="0.70866141732283472" top="0.74803149606299213" bottom="0.74803149606299213" header="0.31496062992125984" footer="0.31496062992125984"/>
  <pageSetup scale="37" fitToHeight="2" orientation="portrait" r:id="rId1"/>
  <ignoredErrors>
    <ignoredError sqref="E29 E52 E10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González</dc:creator>
  <cp:lastModifiedBy>Jairo Armando Moreno Guerrero</cp:lastModifiedBy>
  <cp:lastPrinted>2014-02-18T22:36:03Z</cp:lastPrinted>
  <dcterms:created xsi:type="dcterms:W3CDTF">2014-01-16T16:16:13Z</dcterms:created>
  <dcterms:modified xsi:type="dcterms:W3CDTF">2014-03-20T20:04:36Z</dcterms:modified>
</cp:coreProperties>
</file>