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995"/>
  </bookViews>
  <sheets>
    <sheet name="RESUMEN" sheetId="1" r:id="rId1"/>
    <sheet name="TX 1KW" sheetId="2" r:id="rId2"/>
    <sheet name="TX 5KW" sheetId="3" r:id="rId3"/>
    <sheet name="TX 10KW" sheetId="4" r:id="rId4"/>
    <sheet name="Estudio Técnicos" sheetId="5" r:id="rId5"/>
  </sheets>
  <externalReferences>
    <externalReference r:id="rId6"/>
  </externalReferences>
  <calcPr calcId="144525"/>
</workbook>
</file>

<file path=xl/calcChain.xml><?xml version="1.0" encoding="utf-8"?>
<calcChain xmlns="http://schemas.openxmlformats.org/spreadsheetml/2006/main">
  <c r="J20" i="1" l="1"/>
  <c r="K20" i="1" l="1"/>
  <c r="G4" i="5" l="1"/>
  <c r="G5" i="5" s="1"/>
  <c r="F4" i="5"/>
  <c r="F5" i="5" s="1"/>
  <c r="E4" i="5"/>
  <c r="E3" i="5" s="1"/>
  <c r="E5" i="5" s="1"/>
  <c r="E6" i="5" l="1"/>
  <c r="E7" i="5" s="1"/>
  <c r="E14" i="4" l="1"/>
  <c r="E13" i="4" s="1"/>
  <c r="F12" i="4"/>
  <c r="F3" i="4"/>
  <c r="F15" i="4" s="1"/>
  <c r="E14" i="3"/>
  <c r="E13" i="3" s="1"/>
  <c r="F12" i="3"/>
  <c r="F3" i="3"/>
  <c r="F15" i="3" s="1"/>
  <c r="F13" i="2"/>
  <c r="F16" i="2" s="1"/>
  <c r="E13" i="2"/>
  <c r="E15" i="2" s="1"/>
  <c r="J19" i="1"/>
  <c r="F16" i="1"/>
  <c r="F17" i="1" s="1"/>
  <c r="F18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9" i="1"/>
  <c r="G9" i="1" s="1"/>
  <c r="E8" i="1"/>
  <c r="G8" i="1" s="1"/>
  <c r="E7" i="1"/>
  <c r="E16" i="1" l="1"/>
  <c r="E17" i="1" s="1"/>
  <c r="E18" i="1" s="1"/>
  <c r="F19" i="1" s="1"/>
  <c r="F21" i="1" s="1"/>
  <c r="F23" i="1" s="1"/>
  <c r="E15" i="4"/>
  <c r="F16" i="4" s="1"/>
  <c r="E15" i="3"/>
  <c r="F16" i="3" s="1"/>
  <c r="E14" i="2"/>
  <c r="E16" i="2"/>
  <c r="F17" i="2" s="1"/>
  <c r="G7" i="1"/>
  <c r="G16" i="1" s="1"/>
  <c r="G17" i="1" s="1"/>
  <c r="G18" i="1" s="1"/>
</calcChain>
</file>

<file path=xl/sharedStrings.xml><?xml version="1.0" encoding="utf-8"?>
<sst xmlns="http://schemas.openxmlformats.org/spreadsheetml/2006/main" count="120" uniqueCount="56">
  <si>
    <t>ITEM</t>
  </si>
  <si>
    <t>DEPARTAMENTO</t>
  </si>
  <si>
    <t>POT</t>
  </si>
  <si>
    <t>ROHDE COP</t>
  </si>
  <si>
    <t>IRADIO COP</t>
  </si>
  <si>
    <t>Promedio X estación</t>
  </si>
  <si>
    <t>Tolima</t>
  </si>
  <si>
    <t>1 Kw</t>
  </si>
  <si>
    <t>Sucre</t>
  </si>
  <si>
    <t>Norte de Santander</t>
  </si>
  <si>
    <t>Caquetá</t>
  </si>
  <si>
    <t>5 Kw</t>
  </si>
  <si>
    <t>Quindío</t>
  </si>
  <si>
    <t>10 Kw</t>
  </si>
  <si>
    <t>Nariño</t>
  </si>
  <si>
    <t>Cundinamarca</t>
  </si>
  <si>
    <t>SUBTOTAL</t>
  </si>
  <si>
    <t>CONVENIO No. 00275 de 2011 MINTIC</t>
  </si>
  <si>
    <t>IVA</t>
  </si>
  <si>
    <t>Valor convenio</t>
  </si>
  <si>
    <t>TRM EURO</t>
  </si>
  <si>
    <t>TOTAL</t>
  </si>
  <si>
    <t>Computadores</t>
  </si>
  <si>
    <t>Total EDM estaciones</t>
  </si>
  <si>
    <t>4*1000</t>
  </si>
  <si>
    <t>Total EDM Estudios Técnicos</t>
  </si>
  <si>
    <t>total presupuesto expansión</t>
  </si>
  <si>
    <t>N</t>
  </si>
  <si>
    <t>LISTADO DE EQUIPOS</t>
  </si>
  <si>
    <t>CANT</t>
  </si>
  <si>
    <t>RHODE</t>
  </si>
  <si>
    <t>IRADIO</t>
  </si>
  <si>
    <t>TRANSMISOR FM 1 KW</t>
  </si>
  <si>
    <t>CARGA FANTASMA</t>
  </si>
  <si>
    <t>incluida</t>
  </si>
  <si>
    <t>PROCESADOR DE AUDIO</t>
  </si>
  <si>
    <t>MONITOR DE MODULACIÓN FM</t>
  </si>
  <si>
    <t>MONITOREO DE AUDIO</t>
  </si>
  <si>
    <t>MONITOR DE FRECUENCIA FM</t>
  </si>
  <si>
    <t>RECEPTOR SATELITAL IRD</t>
  </si>
  <si>
    <t>ENCODER RDS</t>
  </si>
  <si>
    <t>SISTEMA RADIANTE</t>
  </si>
  <si>
    <t>CONMUTADOR MANUAL</t>
  </si>
  <si>
    <t>ELEMENTOS COMPLEMENTARIOS</t>
  </si>
  <si>
    <t>CAPACITACION</t>
  </si>
  <si>
    <t>EUR</t>
  </si>
  <si>
    <t>COP</t>
  </si>
  <si>
    <t>PROMEDIO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</si>
  <si>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Debido a que el proponente R&amp;S no cotizó el valor correspondiente a capacitación se toma el valor del 6% del valor total, para el ajuste del presupuesto.</t>
    </r>
  </si>
  <si>
    <t>TRANSMISOR FM 5 KW</t>
  </si>
  <si>
    <t>ESTACIONES RADIO</t>
  </si>
  <si>
    <t>ESTUDIOS TÉCNICOS</t>
  </si>
  <si>
    <t>TES AMERICA</t>
  </si>
  <si>
    <t>STUDEM</t>
  </si>
  <si>
    <t>TOTAL 29 ESTACIONES</t>
  </si>
  <si>
    <t>IMPREVISTOS Aprox 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</si>
</sst>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  <numFmt numFmtId="165" formatCode="_([$€-2]\ * #,##0_);_([$€-2]\ * \(#,##0\);_([$€-2]\ 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Arial Narrow"/>
      <family val="2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DB4E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5" fillId="0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7" fillId="0" borderId="4" xfId="0" applyFont="1" applyBorder="1" applyAlignment="1">
      <alignment horizontal="center" vertical="center"/>
    </xf>
    <xf numFmtId="0" fontId="7" fillId="3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164" fontId="6" fillId="0" borderId="4" xfId="1" applyNumberFormat="1" applyFont="1" applyBorder="1"/>
    <xf numFmtId="3" fontId="7" fillId="0" borderId="0" xfId="0" applyNumberFormat="1" applyFont="1" applyFill="1" applyBorder="1" applyAlignment="1">
      <alignment horizontal="right" wrapText="1"/>
    </xf>
    <xf numFmtId="0" fontId="7" fillId="3" borderId="4" xfId="0" applyFont="1" applyFill="1" applyBorder="1" applyAlignment="1">
      <alignment horizontal="center" vertical="center"/>
    </xf>
    <xf numFmtId="3" fontId="6" fillId="0" borderId="0" xfId="0" applyNumberFormat="1" applyFont="1" applyFill="1" applyBorder="1"/>
    <xf numFmtId="164" fontId="0" fillId="0" borderId="0" xfId="1" applyNumberFormat="1" applyFont="1"/>
    <xf numFmtId="3" fontId="6" fillId="0" borderId="0" xfId="0" applyNumberFormat="1" applyFont="1" applyBorder="1"/>
    <xf numFmtId="0" fontId="6" fillId="0" borderId="0" xfId="0" applyFont="1"/>
    <xf numFmtId="0" fontId="4" fillId="0" borderId="4" xfId="0" applyFont="1" applyFill="1" applyBorder="1"/>
    <xf numFmtId="164" fontId="4" fillId="0" borderId="5" xfId="1" applyNumberFormat="1" applyFont="1" applyBorder="1"/>
    <xf numFmtId="164" fontId="4" fillId="0" borderId="7" xfId="1" applyNumberFormat="1" applyFont="1" applyBorder="1"/>
    <xf numFmtId="164" fontId="4" fillId="0" borderId="8" xfId="1" applyNumberFormat="1" applyFont="1" applyBorder="1"/>
    <xf numFmtId="164" fontId="6" fillId="0" borderId="9" xfId="1" applyNumberFormat="1" applyFont="1" applyBorder="1"/>
    <xf numFmtId="164" fontId="6" fillId="0" borderId="10" xfId="1" applyNumberFormat="1" applyFont="1" applyBorder="1"/>
    <xf numFmtId="0" fontId="3" fillId="0" borderId="4" xfId="0" applyFont="1" applyBorder="1"/>
    <xf numFmtId="164" fontId="1" fillId="0" borderId="4" xfId="1" applyNumberFormat="1" applyFont="1" applyBorder="1"/>
    <xf numFmtId="0" fontId="9" fillId="0" borderId="4" xfId="0" applyFont="1" applyFill="1" applyBorder="1" applyAlignment="1">
      <alignment horizontal="center" vertical="center"/>
    </xf>
    <xf numFmtId="164" fontId="4" fillId="0" borderId="11" xfId="1" applyNumberFormat="1" applyFont="1" applyBorder="1"/>
    <xf numFmtId="164" fontId="4" fillId="0" borderId="12" xfId="1" applyNumberFormat="1" applyFont="1" applyBorder="1"/>
    <xf numFmtId="164" fontId="4" fillId="0" borderId="13" xfId="1" applyNumberFormat="1" applyFont="1" applyBorder="1"/>
    <xf numFmtId="164" fontId="10" fillId="0" borderId="4" xfId="1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164" fontId="1" fillId="0" borderId="4" xfId="1" applyNumberFormat="1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3" fillId="0" borderId="4" xfId="0" applyFont="1" applyBorder="1" applyAlignment="1">
      <alignment wrapText="1"/>
    </xf>
    <xf numFmtId="164" fontId="11" fillId="0" borderId="4" xfId="0" applyNumberFormat="1" applyFont="1" applyBorder="1" applyAlignment="1">
      <alignment vertical="center"/>
    </xf>
    <xf numFmtId="3" fontId="0" fillId="0" borderId="0" xfId="0" applyNumberFormat="1"/>
    <xf numFmtId="0" fontId="12" fillId="4" borderId="4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4" fillId="0" borderId="15" xfId="0" applyFont="1" applyBorder="1" applyAlignment="1">
      <alignment wrapText="1"/>
    </xf>
    <xf numFmtId="0" fontId="0" fillId="0" borderId="4" xfId="0" applyBorder="1" applyAlignment="1">
      <alignment horizontal="center"/>
    </xf>
    <xf numFmtId="165" fontId="0" fillId="0" borderId="4" xfId="0" applyNumberFormat="1" applyBorder="1"/>
    <xf numFmtId="164" fontId="0" fillId="0" borderId="4" xfId="1" applyNumberFormat="1" applyFont="1" applyBorder="1"/>
    <xf numFmtId="3" fontId="3" fillId="0" borderId="4" xfId="0" applyNumberFormat="1" applyFon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4" fillId="0" borderId="3" xfId="0" applyFont="1" applyFill="1" applyBorder="1" applyAlignment="1">
      <alignment wrapText="1"/>
    </xf>
    <xf numFmtId="3" fontId="2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center"/>
    </xf>
    <xf numFmtId="0" fontId="0" fillId="0" borderId="4" xfId="0" applyBorder="1"/>
    <xf numFmtId="164" fontId="11" fillId="0" borderId="4" xfId="1" applyNumberFormat="1" applyFont="1" applyBorder="1" applyAlignment="1">
      <alignment vertical="center" wrapText="1"/>
    </xf>
    <xf numFmtId="165" fontId="0" fillId="0" borderId="0" xfId="0" applyNumberFormat="1"/>
    <xf numFmtId="165" fontId="3" fillId="0" borderId="4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164" fontId="0" fillId="0" borderId="4" xfId="1" applyNumberFormat="1" applyFont="1" applyBorder="1" applyAlignment="1">
      <alignment horizontal="right"/>
    </xf>
    <xf numFmtId="44" fontId="0" fillId="0" borderId="0" xfId="1" applyFont="1"/>
    <xf numFmtId="0" fontId="5" fillId="2" borderId="4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4" fillId="0" borderId="4" xfId="0" applyFont="1" applyBorder="1" applyAlignment="1">
      <alignment horizontal="center"/>
    </xf>
    <xf numFmtId="3" fontId="6" fillId="0" borderId="4" xfId="0" applyNumberFormat="1" applyFont="1" applyBorder="1"/>
    <xf numFmtId="3" fontId="6" fillId="0" borderId="3" xfId="0" applyNumberFormat="1" applyFont="1" applyBorder="1"/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 wrapText="1"/>
    </xf>
    <xf numFmtId="0" fontId="6" fillId="0" borderId="0" xfId="0" applyFont="1" applyBorder="1"/>
    <xf numFmtId="0" fontId="0" fillId="0" borderId="0" xfId="0" applyBorder="1"/>
    <xf numFmtId="0" fontId="7" fillId="3" borderId="3" xfId="0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164" fontId="4" fillId="0" borderId="0" xfId="0" applyNumberFormat="1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37" fontId="4" fillId="0" borderId="1" xfId="1" applyNumberFormat="1" applyFont="1" applyBorder="1" applyAlignment="1">
      <alignment horizontal="center"/>
    </xf>
    <xf numFmtId="37" fontId="4" fillId="0" borderId="2" xfId="1" applyNumberFormat="1" applyFont="1" applyBorder="1" applyAlignment="1">
      <alignment horizontal="center"/>
    </xf>
    <xf numFmtId="37" fontId="4" fillId="0" borderId="3" xfId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(RESUMEN!$D$19,RESUMEN!$D$20,RESUMEN!$D$23)</c:f>
              <c:strCache>
                <c:ptCount val="3"/>
                <c:pt idx="0">
                  <c:v>Total EDM estaciones</c:v>
                </c:pt>
                <c:pt idx="1">
                  <c:v>Total EDM Estudios Técnicos</c:v>
                </c:pt>
                <c:pt idx="2">
                  <c:v>IMPREVISTOS Aprox 2%</c:v>
                </c:pt>
              </c:strCache>
            </c:strRef>
          </c:cat>
          <c:val>
            <c:numRef>
              <c:f>(RESUMEN!$F$19,RESUMEN!$F$20,RESUMEN!$F$23)</c:f>
              <c:numCache>
                <c:formatCode>_("$"\ * #,##0_);_("$"\ * \(#,##0\);_("$"\ * "-"??_);_(@_)</c:formatCode>
                <c:ptCount val="3"/>
                <c:pt idx="0">
                  <c:v>3643902548</c:v>
                </c:pt>
                <c:pt idx="1">
                  <c:v>201376000</c:v>
                </c:pt>
                <c:pt idx="2">
                  <c:v>72848942.019999981</c:v>
                </c:pt>
              </c:numCache>
            </c:numRef>
          </c:val>
        </c:ser>
        <c:ser>
          <c:idx val="1"/>
          <c:order val="1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(RESUMEN!$D$19,RESUMEN!$D$20,RESUMEN!$D$23)</c:f>
              <c:strCache>
                <c:ptCount val="3"/>
                <c:pt idx="0">
                  <c:v>Total EDM estaciones</c:v>
                </c:pt>
                <c:pt idx="1">
                  <c:v>Total EDM Estudios Técnicos</c:v>
                </c:pt>
                <c:pt idx="2">
                  <c:v>IMPREVISTOS Aprox 2%</c:v>
                </c:pt>
              </c:strCache>
            </c:strRef>
          </c:cat>
          <c:val>
            <c:numRef>
              <c:f>(RESUMEN!$G$19,RESUMEN!$G$20,RESUMEN!$G$23)</c:f>
              <c:numCache>
                <c:formatCode>_("$"\ * #,##0_);_("$"\ * \(#,##0\);_("$"\ * "-"??_);_(@_)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201082</xdr:colOff>
      <xdr:row>0</xdr:row>
      <xdr:rowOff>95250</xdr:rowOff>
    </xdr:from>
    <xdr:to>
      <xdr:col>12</xdr:col>
      <xdr:colOff>42332</xdr:colOff>
      <xdr:row>13</xdr:row>
      <xdr:rowOff>143934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uatin\AppData\Local\Temp\COSTOS%20PROY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K"/>
      <sheetName val="5K"/>
      <sheetName val="10K"/>
      <sheetName val="Hoja5"/>
      <sheetName val="ESTACIONES ESTUDIOS"/>
      <sheetName val="estudio de mercado"/>
      <sheetName val="PONDERABLES"/>
      <sheetName val="mercado1K"/>
      <sheetName val="mercado5K"/>
      <sheetName val="mercado10K"/>
      <sheetName val="RESUMEN"/>
      <sheetName val="DESEMBOLSOS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E16">
            <v>329240700</v>
          </cell>
        </row>
      </sheetData>
      <sheetData sheetId="8">
        <row r="15">
          <cell r="E15">
            <v>379814850</v>
          </cell>
        </row>
      </sheetData>
      <sheetData sheetId="9">
        <row r="15">
          <cell r="E15">
            <v>446731950</v>
          </cell>
        </row>
      </sheetData>
      <sheetData sheetId="10">
        <row r="16">
          <cell r="B16">
            <v>2550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6"/>
  <sheetViews>
    <sheetView tabSelected="1" topLeftCell="B1" zoomScale="90" zoomScaleNormal="90" workbookViewId="0">
      <selection activeCell="N13" sqref="N13"/>
    </sheetView>
  </sheetViews>
  <sheetFormatPr baseColWidth="10" defaultRowHeight="15" x14ac:dyDescent="0.25"/>
  <cols>
    <col min="2" max="2" width="10.5703125" bestFit="1" customWidth="1"/>
    <col min="3" max="3" width="27.85546875" customWidth="1"/>
    <col min="4" max="4" width="11.28515625" customWidth="1"/>
    <col min="5" max="6" width="17.28515625" customWidth="1"/>
    <col min="7" max="7" width="18.7109375" customWidth="1"/>
    <col min="8" max="8" width="14.28515625" customWidth="1"/>
    <col min="9" max="9" width="18.28515625" bestFit="1" customWidth="1"/>
    <col min="10" max="10" width="21.7109375" bestFit="1" customWidth="1"/>
    <col min="11" max="11" width="15.7109375" bestFit="1" customWidth="1"/>
  </cols>
  <sheetData>
    <row r="4" spans="2:10" ht="15.75" thickBot="1" x14ac:dyDescent="0.3"/>
    <row r="5" spans="2:10" ht="17.25" thickBot="1" x14ac:dyDescent="0.35">
      <c r="B5" s="81" t="s">
        <v>50</v>
      </c>
      <c r="C5" s="82"/>
      <c r="D5" s="82"/>
      <c r="E5" s="82"/>
      <c r="F5" s="82"/>
      <c r="G5" s="83"/>
      <c r="H5" s="1"/>
    </row>
    <row r="6" spans="2:10" ht="17.25" thickBot="1" x14ac:dyDescent="0.35">
      <c r="B6" s="2" t="s">
        <v>0</v>
      </c>
      <c r="C6" s="2" t="s">
        <v>1</v>
      </c>
      <c r="D6" s="2" t="s">
        <v>2</v>
      </c>
      <c r="E6" s="3" t="s">
        <v>3</v>
      </c>
      <c r="F6" s="4" t="s">
        <v>4</v>
      </c>
      <c r="G6" s="3" t="s">
        <v>5</v>
      </c>
      <c r="H6" s="5"/>
    </row>
    <row r="7" spans="2:10" ht="17.25" thickBot="1" x14ac:dyDescent="0.35">
      <c r="B7" s="6">
        <v>1</v>
      </c>
      <c r="C7" s="7" t="s">
        <v>6</v>
      </c>
      <c r="D7" s="8" t="s">
        <v>7</v>
      </c>
      <c r="E7" s="9">
        <f>[1]mercado1K!E16</f>
        <v>329240700</v>
      </c>
      <c r="F7" s="9">
        <v>197799000</v>
      </c>
      <c r="G7" s="9">
        <f t="shared" ref="G7:G15" si="0">(E7+F7)/2</f>
        <v>263519850</v>
      </c>
      <c r="H7" s="10"/>
    </row>
    <row r="8" spans="2:10" ht="17.25" thickBot="1" x14ac:dyDescent="0.35">
      <c r="B8" s="6">
        <v>2</v>
      </c>
      <c r="C8" s="7" t="s">
        <v>8</v>
      </c>
      <c r="D8" s="8" t="s">
        <v>7</v>
      </c>
      <c r="E8" s="9">
        <f>[1]mercado1K!E16</f>
        <v>329240700</v>
      </c>
      <c r="F8" s="9">
        <v>197799000</v>
      </c>
      <c r="G8" s="9">
        <f t="shared" si="0"/>
        <v>263519850</v>
      </c>
      <c r="H8" s="10"/>
    </row>
    <row r="9" spans="2:10" ht="17.25" thickBot="1" x14ac:dyDescent="0.35">
      <c r="B9" s="6">
        <v>3</v>
      </c>
      <c r="C9" s="7" t="s">
        <v>9</v>
      </c>
      <c r="D9" s="8" t="s">
        <v>7</v>
      </c>
      <c r="E9" s="9">
        <f>[1]mercado1K!E16</f>
        <v>329240700</v>
      </c>
      <c r="F9" s="9">
        <v>197799000</v>
      </c>
      <c r="G9" s="9">
        <f t="shared" si="0"/>
        <v>263519850</v>
      </c>
      <c r="H9" s="10"/>
    </row>
    <row r="10" spans="2:10" ht="17.25" thickBot="1" x14ac:dyDescent="0.35">
      <c r="B10" s="11">
        <v>4</v>
      </c>
      <c r="C10" s="7" t="s">
        <v>10</v>
      </c>
      <c r="D10" s="8" t="s">
        <v>11</v>
      </c>
      <c r="E10" s="9">
        <f>[1]mercado5K!E15</f>
        <v>379814850</v>
      </c>
      <c r="F10" s="9">
        <v>292839000</v>
      </c>
      <c r="G10" s="9">
        <f t="shared" si="0"/>
        <v>336326925</v>
      </c>
      <c r="H10" s="10"/>
    </row>
    <row r="11" spans="2:10" ht="17.25" thickBot="1" x14ac:dyDescent="0.35">
      <c r="B11" s="11">
        <v>5</v>
      </c>
      <c r="C11" s="7" t="s">
        <v>12</v>
      </c>
      <c r="D11" s="8" t="s">
        <v>11</v>
      </c>
      <c r="E11" s="9">
        <f>[1]mercado5K!E15</f>
        <v>379814850</v>
      </c>
      <c r="F11" s="9">
        <v>292839000</v>
      </c>
      <c r="G11" s="9">
        <f t="shared" si="0"/>
        <v>336326925</v>
      </c>
      <c r="H11" s="10"/>
    </row>
    <row r="12" spans="2:10" ht="17.25" thickBot="1" x14ac:dyDescent="0.35">
      <c r="B12" s="11">
        <v>6</v>
      </c>
      <c r="C12" s="7" t="s">
        <v>9</v>
      </c>
      <c r="D12" s="8" t="s">
        <v>13</v>
      </c>
      <c r="E12" s="9">
        <f>[1]mercado10K!E15</f>
        <v>446731950</v>
      </c>
      <c r="F12" s="9">
        <v>392309000</v>
      </c>
      <c r="G12" s="9">
        <f t="shared" si="0"/>
        <v>419520475</v>
      </c>
      <c r="H12" s="10"/>
    </row>
    <row r="13" spans="2:10" ht="17.25" thickBot="1" x14ac:dyDescent="0.35">
      <c r="B13" s="11">
        <v>7</v>
      </c>
      <c r="C13" s="7" t="s">
        <v>14</v>
      </c>
      <c r="D13" s="8" t="s">
        <v>13</v>
      </c>
      <c r="E13" s="9">
        <f>[1]mercado10K!E15</f>
        <v>446731950</v>
      </c>
      <c r="F13" s="9">
        <v>392309000</v>
      </c>
      <c r="G13" s="9">
        <f t="shared" si="0"/>
        <v>419520475</v>
      </c>
      <c r="H13" s="12"/>
      <c r="J13" s="13"/>
    </row>
    <row r="14" spans="2:10" ht="17.25" thickBot="1" x14ac:dyDescent="0.35">
      <c r="B14" s="62">
        <v>8</v>
      </c>
      <c r="C14" s="63" t="s">
        <v>15</v>
      </c>
      <c r="D14" s="8" t="s">
        <v>13</v>
      </c>
      <c r="E14" s="9">
        <f>[1]mercado10K!E15</f>
        <v>446731950</v>
      </c>
      <c r="F14" s="9">
        <v>392309000</v>
      </c>
      <c r="G14" s="9">
        <f t="shared" si="0"/>
        <v>419520475</v>
      </c>
      <c r="H14" s="14"/>
      <c r="J14" s="13"/>
    </row>
    <row r="15" spans="2:10" ht="17.25" thickBot="1" x14ac:dyDescent="0.35">
      <c r="B15" s="11">
        <v>9</v>
      </c>
      <c r="C15" s="7" t="s">
        <v>15</v>
      </c>
      <c r="D15" s="66" t="s">
        <v>13</v>
      </c>
      <c r="E15" s="9">
        <f>[1]mercado10K!E15</f>
        <v>446731950</v>
      </c>
      <c r="F15" s="9">
        <v>392309000</v>
      </c>
      <c r="G15" s="9">
        <f t="shared" si="0"/>
        <v>419520475</v>
      </c>
      <c r="H15" s="14"/>
      <c r="J15" s="13"/>
    </row>
    <row r="16" spans="2:10" ht="17.25" thickBot="1" x14ac:dyDescent="0.35">
      <c r="B16" s="64"/>
      <c r="C16" s="64"/>
      <c r="D16" s="16" t="s">
        <v>16</v>
      </c>
      <c r="E16" s="17">
        <f>SUM(E7:E15)</f>
        <v>3534279600</v>
      </c>
      <c r="F16" s="18">
        <f>SUM(F7:F15)</f>
        <v>2748311000</v>
      </c>
      <c r="G16" s="19">
        <f>SUM(G7:G15)</f>
        <v>3141295300</v>
      </c>
      <c r="I16" s="70" t="s">
        <v>17</v>
      </c>
      <c r="J16" s="70"/>
    </row>
    <row r="17" spans="2:12" ht="17.25" thickBot="1" x14ac:dyDescent="0.35">
      <c r="B17" s="65"/>
      <c r="C17" s="65"/>
      <c r="D17" s="16" t="s">
        <v>18</v>
      </c>
      <c r="E17" s="9">
        <f>E16*0.16</f>
        <v>565484736</v>
      </c>
      <c r="F17" s="20">
        <f>F16*0.16</f>
        <v>439729760</v>
      </c>
      <c r="G17" s="21">
        <f>G16*0.16</f>
        <v>502607248</v>
      </c>
      <c r="I17" s="22" t="s">
        <v>19</v>
      </c>
      <c r="J17" s="23">
        <v>3984063745</v>
      </c>
      <c r="K17" s="15"/>
    </row>
    <row r="18" spans="2:12" ht="17.25" thickBot="1" x14ac:dyDescent="0.35">
      <c r="B18" s="65"/>
      <c r="C18" s="65"/>
      <c r="D18" s="16" t="s">
        <v>21</v>
      </c>
      <c r="E18" s="25">
        <f>E17+E16</f>
        <v>4099764336</v>
      </c>
      <c r="F18" s="26">
        <f>F17+F16</f>
        <v>3188040760</v>
      </c>
      <c r="G18" s="27">
        <f>G17+G16</f>
        <v>3643902548</v>
      </c>
      <c r="I18" s="22" t="s">
        <v>22</v>
      </c>
      <c r="J18" s="23">
        <v>50000000</v>
      </c>
      <c r="K18" s="15"/>
    </row>
    <row r="19" spans="2:12" ht="35.25" customHeight="1" thickBot="1" x14ac:dyDescent="0.35">
      <c r="B19" s="65"/>
      <c r="C19" s="65"/>
      <c r="D19" s="71" t="s">
        <v>23</v>
      </c>
      <c r="E19" s="72"/>
      <c r="F19" s="73">
        <f>(E18+F18)/2</f>
        <v>3643902548</v>
      </c>
      <c r="G19" s="74"/>
      <c r="I19" s="29" t="s">
        <v>24</v>
      </c>
      <c r="J19" s="30">
        <f>J17*0.004</f>
        <v>15936254.98</v>
      </c>
      <c r="K19" s="31"/>
      <c r="L19" s="31"/>
    </row>
    <row r="20" spans="2:12" ht="33" customHeight="1" thickBot="1" x14ac:dyDescent="0.35">
      <c r="B20" s="65"/>
      <c r="C20" s="65"/>
      <c r="D20" s="71" t="s">
        <v>25</v>
      </c>
      <c r="E20" s="72"/>
      <c r="F20" s="73">
        <v>201376000</v>
      </c>
      <c r="G20" s="74"/>
      <c r="I20" s="32" t="s">
        <v>26</v>
      </c>
      <c r="J20" s="33">
        <f>J17-J18-J19</f>
        <v>3918127490.02</v>
      </c>
      <c r="K20" s="69">
        <f>J20*2%</f>
        <v>78362549.800400004</v>
      </c>
      <c r="L20" s="31"/>
    </row>
    <row r="21" spans="2:12" ht="19.5" thickBot="1" x14ac:dyDescent="0.35">
      <c r="B21" s="65"/>
      <c r="C21" s="65"/>
      <c r="D21" s="75" t="s">
        <v>21</v>
      </c>
      <c r="E21" s="76"/>
      <c r="F21" s="77">
        <f>F19+F20</f>
        <v>3845278548</v>
      </c>
      <c r="G21" s="78"/>
    </row>
    <row r="22" spans="2:12" ht="17.25" thickBot="1" x14ac:dyDescent="0.3">
      <c r="B22" s="65"/>
      <c r="C22" s="65"/>
      <c r="D22" s="67"/>
      <c r="E22" s="68"/>
      <c r="F22" s="13"/>
      <c r="G22" s="13"/>
      <c r="I22" s="24" t="s">
        <v>20</v>
      </c>
    </row>
    <row r="23" spans="2:12" ht="31.5" customHeight="1" thickBot="1" x14ac:dyDescent="0.3">
      <c r="B23" s="65"/>
      <c r="C23" s="65"/>
      <c r="D23" s="79" t="s">
        <v>55</v>
      </c>
      <c r="E23" s="80"/>
      <c r="F23" s="73">
        <f>J20-F21</f>
        <v>72848942.019999981</v>
      </c>
      <c r="G23" s="74"/>
      <c r="I23" s="28">
        <v>2550</v>
      </c>
    </row>
    <row r="26" spans="2:12" x14ac:dyDescent="0.25">
      <c r="H26" s="34"/>
    </row>
  </sheetData>
  <mergeCells count="10">
    <mergeCell ref="D21:E21"/>
    <mergeCell ref="F21:G21"/>
    <mergeCell ref="D23:E23"/>
    <mergeCell ref="F23:G23"/>
    <mergeCell ref="B5:G5"/>
    <mergeCell ref="I16:J16"/>
    <mergeCell ref="D19:E19"/>
    <mergeCell ref="F19:G19"/>
    <mergeCell ref="D20:E20"/>
    <mergeCell ref="F20:G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workbookViewId="0">
      <selection activeCell="E14" sqref="E14"/>
    </sheetView>
  </sheetViews>
  <sheetFormatPr baseColWidth="10" defaultRowHeight="15" x14ac:dyDescent="0.25"/>
  <cols>
    <col min="2" max="2" width="5.5703125" customWidth="1"/>
    <col min="3" max="3" width="32.7109375" customWidth="1"/>
    <col min="4" max="4" width="6.5703125" customWidth="1"/>
    <col min="5" max="5" width="19.28515625" customWidth="1"/>
    <col min="6" max="6" width="22.5703125" bestFit="1" customWidth="1"/>
    <col min="7" max="7" width="16.7109375" bestFit="1" customWidth="1"/>
  </cols>
  <sheetData>
    <row r="1" spans="2:7" ht="15.75" thickBot="1" x14ac:dyDescent="0.3"/>
    <row r="2" spans="2:7" ht="15.75" thickBot="1" x14ac:dyDescent="0.3">
      <c r="B2" s="35" t="s">
        <v>27</v>
      </c>
      <c r="C2" s="36" t="s">
        <v>28</v>
      </c>
      <c r="D2" s="37" t="s">
        <v>29</v>
      </c>
      <c r="E2" s="37" t="s">
        <v>30</v>
      </c>
      <c r="F2" s="37" t="s">
        <v>31</v>
      </c>
    </row>
    <row r="3" spans="2:7" ht="15.75" thickBot="1" x14ac:dyDescent="0.3">
      <c r="B3" s="38">
        <v>1</v>
      </c>
      <c r="C3" s="39" t="s">
        <v>32</v>
      </c>
      <c r="D3" s="40">
        <v>1</v>
      </c>
      <c r="E3" s="41">
        <v>13883</v>
      </c>
      <c r="F3" s="42">
        <v>41500000</v>
      </c>
    </row>
    <row r="4" spans="2:7" ht="15.75" thickBot="1" x14ac:dyDescent="0.3">
      <c r="B4" s="38">
        <v>2</v>
      </c>
      <c r="C4" s="39" t="s">
        <v>33</v>
      </c>
      <c r="D4" s="40">
        <v>1</v>
      </c>
      <c r="E4" s="43" t="s">
        <v>34</v>
      </c>
      <c r="F4" s="42">
        <v>6852000</v>
      </c>
    </row>
    <row r="5" spans="2:7" ht="15.75" thickBot="1" x14ac:dyDescent="0.3">
      <c r="B5" s="38">
        <v>3</v>
      </c>
      <c r="C5" s="39" t="s">
        <v>35</v>
      </c>
      <c r="D5" s="40">
        <v>1</v>
      </c>
      <c r="E5" s="44">
        <v>7038</v>
      </c>
      <c r="F5" s="42">
        <v>31900000</v>
      </c>
    </row>
    <row r="6" spans="2:7" ht="15.75" thickBot="1" x14ac:dyDescent="0.3">
      <c r="B6" s="38">
        <v>4</v>
      </c>
      <c r="C6" s="39" t="s">
        <v>36</v>
      </c>
      <c r="D6" s="40">
        <v>1</v>
      </c>
      <c r="E6" s="44">
        <v>42691</v>
      </c>
      <c r="F6" s="42">
        <v>21580000</v>
      </c>
    </row>
    <row r="7" spans="2:7" ht="15.75" thickBot="1" x14ac:dyDescent="0.3">
      <c r="B7" s="38">
        <v>5</v>
      </c>
      <c r="C7" s="39" t="s">
        <v>37</v>
      </c>
      <c r="D7" s="40">
        <v>1</v>
      </c>
      <c r="E7" s="43" t="s">
        <v>34</v>
      </c>
      <c r="F7" s="42">
        <v>3054000</v>
      </c>
    </row>
    <row r="8" spans="2:7" ht="15.75" thickBot="1" x14ac:dyDescent="0.3">
      <c r="B8" s="38">
        <v>6</v>
      </c>
      <c r="C8" s="39" t="s">
        <v>38</v>
      </c>
      <c r="D8" s="40">
        <v>1</v>
      </c>
      <c r="E8" s="43" t="s">
        <v>34</v>
      </c>
      <c r="F8" s="42">
        <v>1164000</v>
      </c>
    </row>
    <row r="9" spans="2:7" ht="15.75" thickBot="1" x14ac:dyDescent="0.3">
      <c r="B9" s="38">
        <v>7</v>
      </c>
      <c r="C9" s="39" t="s">
        <v>39</v>
      </c>
      <c r="D9" s="40">
        <v>1</v>
      </c>
      <c r="E9" s="44">
        <v>3333</v>
      </c>
      <c r="F9" s="42">
        <v>5956000</v>
      </c>
    </row>
    <row r="10" spans="2:7" ht="15.75" thickBot="1" x14ac:dyDescent="0.3">
      <c r="B10" s="38">
        <v>8</v>
      </c>
      <c r="C10" s="39" t="s">
        <v>40</v>
      </c>
      <c r="D10" s="40">
        <v>1</v>
      </c>
      <c r="E10" s="44">
        <v>2750</v>
      </c>
      <c r="F10" s="42">
        <v>10763000</v>
      </c>
    </row>
    <row r="11" spans="2:7" ht="15.75" thickBot="1" x14ac:dyDescent="0.3">
      <c r="B11" s="38">
        <v>9</v>
      </c>
      <c r="C11" s="39" t="s">
        <v>41</v>
      </c>
      <c r="D11" s="40">
        <v>1</v>
      </c>
      <c r="E11" s="44">
        <v>20000</v>
      </c>
      <c r="F11" s="42">
        <v>32700000</v>
      </c>
    </row>
    <row r="12" spans="2:7" ht="15.75" thickBot="1" x14ac:dyDescent="0.3">
      <c r="B12" s="38">
        <v>10</v>
      </c>
      <c r="C12" s="39" t="s">
        <v>42</v>
      </c>
      <c r="D12" s="45">
        <v>1</v>
      </c>
      <c r="E12" s="44">
        <v>8333</v>
      </c>
      <c r="F12" s="42">
        <v>3680000</v>
      </c>
    </row>
    <row r="13" spans="2:7" ht="15.75" thickBot="1" x14ac:dyDescent="0.3">
      <c r="B13" s="38">
        <v>11</v>
      </c>
      <c r="C13" s="39" t="s">
        <v>43</v>
      </c>
      <c r="D13" s="45">
        <v>1</v>
      </c>
      <c r="E13" s="44">
        <f>16167+7250</f>
        <v>23417</v>
      </c>
      <c r="F13" s="42">
        <f>42330000-3680000</f>
        <v>38650000</v>
      </c>
    </row>
    <row r="14" spans="2:7" ht="15.75" thickBot="1" x14ac:dyDescent="0.3">
      <c r="B14" s="46">
        <v>12</v>
      </c>
      <c r="C14" s="47" t="s">
        <v>44</v>
      </c>
      <c r="D14" s="45">
        <v>1</v>
      </c>
      <c r="E14" s="48">
        <f>(E15*6%)</f>
        <v>7746.84</v>
      </c>
      <c r="F14" s="49" t="s">
        <v>34</v>
      </c>
    </row>
    <row r="15" spans="2:7" ht="15.75" thickBot="1" x14ac:dyDescent="0.3">
      <c r="D15" s="22" t="s">
        <v>45</v>
      </c>
      <c r="E15" s="41">
        <f>SUM(E3:E13)+7669</f>
        <v>129114</v>
      </c>
      <c r="F15" s="50"/>
    </row>
    <row r="16" spans="2:7" ht="15.75" thickBot="1" x14ac:dyDescent="0.3">
      <c r="D16" s="22" t="s">
        <v>46</v>
      </c>
      <c r="E16" s="42">
        <f>(E15*[1]RESUMEN!B16)</f>
        <v>329240700</v>
      </c>
      <c r="F16" s="42">
        <f>SUM(F3:F14)</f>
        <v>197799000</v>
      </c>
      <c r="G16" s="13"/>
    </row>
    <row r="17" spans="2:6" ht="24" customHeight="1" thickBot="1" x14ac:dyDescent="0.3">
      <c r="D17" s="84" t="s">
        <v>47</v>
      </c>
      <c r="E17" s="85"/>
      <c r="F17" s="51">
        <f>(E16+F16)/2</f>
        <v>263519850</v>
      </c>
    </row>
    <row r="18" spans="2:6" ht="15.75" thickBot="1" x14ac:dyDescent="0.3"/>
    <row r="19" spans="2:6" ht="45.75" customHeight="1" thickBot="1" x14ac:dyDescent="0.3">
      <c r="B19" s="86" t="s">
        <v>48</v>
      </c>
      <c r="C19" s="87"/>
      <c r="D19" s="87"/>
      <c r="E19" s="87"/>
      <c r="F19" s="88"/>
    </row>
  </sheetData>
  <mergeCells count="2">
    <mergeCell ref="D17:E17"/>
    <mergeCell ref="B19:F19"/>
  </mergeCell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workbookViewId="0">
      <selection activeCell="B14" sqref="B14"/>
    </sheetView>
  </sheetViews>
  <sheetFormatPr baseColWidth="10" defaultRowHeight="15" x14ac:dyDescent="0.25"/>
  <cols>
    <col min="2" max="2" width="5.5703125" customWidth="1"/>
    <col min="3" max="3" width="32.7109375" customWidth="1"/>
    <col min="4" max="4" width="6.5703125" customWidth="1"/>
    <col min="5" max="5" width="19.28515625" customWidth="1"/>
    <col min="6" max="6" width="22.5703125" bestFit="1" customWidth="1"/>
    <col min="7" max="7" width="16.7109375" bestFit="1" customWidth="1"/>
  </cols>
  <sheetData>
    <row r="1" spans="2:7" ht="15.75" thickBot="1" x14ac:dyDescent="0.3"/>
    <row r="2" spans="2:7" ht="15.75" thickBot="1" x14ac:dyDescent="0.3">
      <c r="B2" s="35" t="s">
        <v>27</v>
      </c>
      <c r="C2" s="36" t="s">
        <v>28</v>
      </c>
      <c r="D2" s="37" t="s">
        <v>29</v>
      </c>
      <c r="E2" s="37" t="s">
        <v>30</v>
      </c>
      <c r="F2" s="37" t="s">
        <v>31</v>
      </c>
    </row>
    <row r="3" spans="2:7" ht="15.75" thickBot="1" x14ac:dyDescent="0.3">
      <c r="B3" s="38">
        <v>1</v>
      </c>
      <c r="C3" s="39" t="s">
        <v>49</v>
      </c>
      <c r="D3" s="40">
        <v>1</v>
      </c>
      <c r="E3" s="44">
        <v>49891</v>
      </c>
      <c r="F3" s="42">
        <f>168000000+2742000</f>
        <v>170742000</v>
      </c>
      <c r="G3" s="52"/>
    </row>
    <row r="4" spans="2:7" ht="15.75" thickBot="1" x14ac:dyDescent="0.3">
      <c r="B4" s="38">
        <v>2</v>
      </c>
      <c r="C4" s="39" t="s">
        <v>33</v>
      </c>
      <c r="D4" s="40">
        <v>1</v>
      </c>
      <c r="E4" s="53" t="s">
        <v>34</v>
      </c>
      <c r="F4" s="42">
        <v>10530000</v>
      </c>
    </row>
    <row r="5" spans="2:7" ht="15.75" thickBot="1" x14ac:dyDescent="0.3">
      <c r="B5" s="38">
        <v>3</v>
      </c>
      <c r="C5" s="39" t="s">
        <v>35</v>
      </c>
      <c r="D5" s="40">
        <v>1</v>
      </c>
      <c r="E5" s="44">
        <v>7038</v>
      </c>
      <c r="F5" s="42">
        <v>31900000</v>
      </c>
    </row>
    <row r="6" spans="2:7" ht="15.75" thickBot="1" x14ac:dyDescent="0.3">
      <c r="B6" s="38">
        <v>4</v>
      </c>
      <c r="C6" s="39" t="s">
        <v>36</v>
      </c>
      <c r="D6" s="40">
        <v>1</v>
      </c>
      <c r="E6" s="44">
        <v>42691</v>
      </c>
      <c r="F6" s="42">
        <v>21580000</v>
      </c>
    </row>
    <row r="7" spans="2:7" ht="15.75" thickBot="1" x14ac:dyDescent="0.3">
      <c r="B7" s="38">
        <v>5</v>
      </c>
      <c r="C7" s="39" t="s">
        <v>37</v>
      </c>
      <c r="D7" s="40">
        <v>1</v>
      </c>
      <c r="E7" s="53" t="s">
        <v>34</v>
      </c>
      <c r="F7" s="42">
        <v>3054000</v>
      </c>
    </row>
    <row r="8" spans="2:7" ht="15.75" thickBot="1" x14ac:dyDescent="0.3">
      <c r="B8" s="38">
        <v>6</v>
      </c>
      <c r="C8" s="39" t="s">
        <v>38</v>
      </c>
      <c r="D8" s="40">
        <v>1</v>
      </c>
      <c r="E8" s="53" t="s">
        <v>34</v>
      </c>
      <c r="F8" s="42">
        <v>1164000</v>
      </c>
    </row>
    <row r="9" spans="2:7" ht="15.75" thickBot="1" x14ac:dyDescent="0.3">
      <c r="B9" s="38">
        <v>7</v>
      </c>
      <c r="C9" s="39" t="s">
        <v>39</v>
      </c>
      <c r="D9" s="40">
        <v>1</v>
      </c>
      <c r="E9" s="44">
        <v>3333</v>
      </c>
      <c r="F9" s="42">
        <v>5956000</v>
      </c>
    </row>
    <row r="10" spans="2:7" ht="15.75" thickBot="1" x14ac:dyDescent="0.3">
      <c r="B10" s="38">
        <v>8</v>
      </c>
      <c r="C10" s="39" t="s">
        <v>40</v>
      </c>
      <c r="D10" s="40">
        <v>1</v>
      </c>
      <c r="E10" s="44">
        <v>2750</v>
      </c>
      <c r="F10" s="42">
        <v>10763000</v>
      </c>
    </row>
    <row r="11" spans="2:7" ht="15.75" thickBot="1" x14ac:dyDescent="0.3">
      <c r="B11" s="38">
        <v>9</v>
      </c>
      <c r="C11" s="39" t="s">
        <v>42</v>
      </c>
      <c r="D11" s="45">
        <v>1</v>
      </c>
      <c r="E11" s="44">
        <v>8333</v>
      </c>
      <c r="F11" s="42">
        <v>8600000</v>
      </c>
    </row>
    <row r="12" spans="2:7" ht="15.75" thickBot="1" x14ac:dyDescent="0.3">
      <c r="B12" s="38">
        <v>10</v>
      </c>
      <c r="C12" s="39" t="s">
        <v>43</v>
      </c>
      <c r="D12" s="45">
        <v>1</v>
      </c>
      <c r="E12" s="44">
        <v>26083</v>
      </c>
      <c r="F12" s="42">
        <f>3550000+25000000</f>
        <v>28550000</v>
      </c>
    </row>
    <row r="13" spans="2:7" ht="15.75" thickBot="1" x14ac:dyDescent="0.3">
      <c r="B13" s="46">
        <v>11</v>
      </c>
      <c r="C13" s="47" t="s">
        <v>44</v>
      </c>
      <c r="D13" s="45">
        <v>1</v>
      </c>
      <c r="E13" s="54">
        <f>E14*6%</f>
        <v>8936.82</v>
      </c>
      <c r="F13" s="49" t="s">
        <v>34</v>
      </c>
    </row>
    <row r="14" spans="2:7" ht="15.75" thickBot="1" x14ac:dyDescent="0.3">
      <c r="D14" s="50" t="s">
        <v>45</v>
      </c>
      <c r="E14" s="44">
        <f>SUM(E3:E12)+8828</f>
        <v>148947</v>
      </c>
      <c r="F14" s="50"/>
    </row>
    <row r="15" spans="2:7" ht="15.75" thickBot="1" x14ac:dyDescent="0.3">
      <c r="D15" s="50" t="s">
        <v>46</v>
      </c>
      <c r="E15" s="55">
        <f>(E14*[1]RESUMEN!B16)</f>
        <v>379814850</v>
      </c>
      <c r="F15" s="42">
        <f>SUM(F3:F13)</f>
        <v>292839000</v>
      </c>
      <c r="G15" s="56"/>
    </row>
    <row r="16" spans="2:7" ht="21" customHeight="1" thickBot="1" x14ac:dyDescent="0.3">
      <c r="D16" s="84" t="s">
        <v>47</v>
      </c>
      <c r="E16" s="85"/>
      <c r="F16" s="51">
        <f>(E15+F15)/2</f>
        <v>336326925</v>
      </c>
    </row>
    <row r="18" spans="2:6" ht="15.75" thickBot="1" x14ac:dyDescent="0.3"/>
    <row r="19" spans="2:6" ht="45" customHeight="1" thickBot="1" x14ac:dyDescent="0.3">
      <c r="B19" s="86" t="s">
        <v>48</v>
      </c>
      <c r="C19" s="87"/>
      <c r="D19" s="87"/>
      <c r="E19" s="87"/>
      <c r="F19" s="88"/>
    </row>
  </sheetData>
  <mergeCells count="2">
    <mergeCell ref="D16:E16"/>
    <mergeCell ref="B19:F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workbookViewId="0">
      <selection activeCell="G19" sqref="G19"/>
    </sheetView>
  </sheetViews>
  <sheetFormatPr baseColWidth="10" defaultRowHeight="15" x14ac:dyDescent="0.25"/>
  <cols>
    <col min="2" max="2" width="5.5703125" customWidth="1"/>
    <col min="3" max="3" width="32.7109375" customWidth="1"/>
    <col min="4" max="4" width="6.5703125" customWidth="1"/>
    <col min="5" max="5" width="19.28515625" customWidth="1"/>
    <col min="6" max="6" width="22.5703125" bestFit="1" customWidth="1"/>
    <col min="7" max="7" width="16.7109375" bestFit="1" customWidth="1"/>
  </cols>
  <sheetData>
    <row r="1" spans="2:7" ht="15.75" thickBot="1" x14ac:dyDescent="0.3"/>
    <row r="2" spans="2:7" ht="15.75" thickBot="1" x14ac:dyDescent="0.3">
      <c r="B2" s="35" t="s">
        <v>27</v>
      </c>
      <c r="C2" s="36" t="s">
        <v>28</v>
      </c>
      <c r="D2" s="37" t="s">
        <v>29</v>
      </c>
      <c r="E2" s="37" t="s">
        <v>30</v>
      </c>
      <c r="F2" s="37" t="s">
        <v>31</v>
      </c>
    </row>
    <row r="3" spans="2:7" ht="15.75" thickBot="1" x14ac:dyDescent="0.3">
      <c r="B3" s="38">
        <v>1</v>
      </c>
      <c r="C3" s="39" t="s">
        <v>49</v>
      </c>
      <c r="D3" s="40">
        <v>1</v>
      </c>
      <c r="E3" s="44">
        <v>74793</v>
      </c>
      <c r="F3" s="42">
        <f>242000000+2742000</f>
        <v>244742000</v>
      </c>
    </row>
    <row r="4" spans="2:7" ht="15.75" thickBot="1" x14ac:dyDescent="0.3">
      <c r="B4" s="38">
        <v>2</v>
      </c>
      <c r="C4" s="39" t="s">
        <v>33</v>
      </c>
      <c r="D4" s="40">
        <v>1</v>
      </c>
      <c r="E4" s="53" t="s">
        <v>34</v>
      </c>
      <c r="F4" s="42">
        <v>21500000</v>
      </c>
    </row>
    <row r="5" spans="2:7" ht="15.75" thickBot="1" x14ac:dyDescent="0.3">
      <c r="B5" s="38">
        <v>3</v>
      </c>
      <c r="C5" s="39" t="s">
        <v>35</v>
      </c>
      <c r="D5" s="40">
        <v>1</v>
      </c>
      <c r="E5" s="44">
        <v>7038</v>
      </c>
      <c r="F5" s="42">
        <v>31900000</v>
      </c>
    </row>
    <row r="6" spans="2:7" ht="15.75" thickBot="1" x14ac:dyDescent="0.3">
      <c r="B6" s="38">
        <v>4</v>
      </c>
      <c r="C6" s="39" t="s">
        <v>36</v>
      </c>
      <c r="D6" s="40">
        <v>1</v>
      </c>
      <c r="E6" s="44">
        <v>42691</v>
      </c>
      <c r="F6" s="42">
        <v>21580000</v>
      </c>
    </row>
    <row r="7" spans="2:7" ht="15.75" thickBot="1" x14ac:dyDescent="0.3">
      <c r="B7" s="38">
        <v>5</v>
      </c>
      <c r="C7" s="39" t="s">
        <v>37</v>
      </c>
      <c r="D7" s="40">
        <v>1</v>
      </c>
      <c r="E7" s="53" t="s">
        <v>34</v>
      </c>
      <c r="F7" s="42">
        <v>3054000</v>
      </c>
    </row>
    <row r="8" spans="2:7" ht="15.75" thickBot="1" x14ac:dyDescent="0.3">
      <c r="B8" s="38">
        <v>6</v>
      </c>
      <c r="C8" s="39" t="s">
        <v>38</v>
      </c>
      <c r="D8" s="40">
        <v>1</v>
      </c>
      <c r="E8" s="53" t="s">
        <v>34</v>
      </c>
      <c r="F8" s="42">
        <v>1164000</v>
      </c>
    </row>
    <row r="9" spans="2:7" ht="15.75" thickBot="1" x14ac:dyDescent="0.3">
      <c r="B9" s="38">
        <v>7</v>
      </c>
      <c r="C9" s="39" t="s">
        <v>39</v>
      </c>
      <c r="D9" s="40">
        <v>1</v>
      </c>
      <c r="E9" s="44">
        <v>3333</v>
      </c>
      <c r="F9" s="42">
        <v>5956000</v>
      </c>
    </row>
    <row r="10" spans="2:7" ht="15.75" thickBot="1" x14ac:dyDescent="0.3">
      <c r="B10" s="38">
        <v>8</v>
      </c>
      <c r="C10" s="39" t="s">
        <v>40</v>
      </c>
      <c r="D10" s="40">
        <v>1</v>
      </c>
      <c r="E10" s="44">
        <v>2750</v>
      </c>
      <c r="F10" s="42">
        <v>10763000</v>
      </c>
    </row>
    <row r="11" spans="2:7" ht="15.75" thickBot="1" x14ac:dyDescent="0.3">
      <c r="B11" s="38">
        <v>9</v>
      </c>
      <c r="C11" s="39" t="s">
        <v>42</v>
      </c>
      <c r="D11" s="45">
        <v>1</v>
      </c>
      <c r="E11" s="44">
        <v>8333</v>
      </c>
      <c r="F11" s="42">
        <v>14500000</v>
      </c>
    </row>
    <row r="12" spans="2:7" ht="15.75" thickBot="1" x14ac:dyDescent="0.3">
      <c r="B12" s="38">
        <v>10</v>
      </c>
      <c r="C12" s="39" t="s">
        <v>43</v>
      </c>
      <c r="D12" s="45">
        <v>1</v>
      </c>
      <c r="E12" s="44">
        <v>25868</v>
      </c>
      <c r="F12" s="42">
        <f>8600000+3550000+25000000</f>
        <v>37150000</v>
      </c>
    </row>
    <row r="13" spans="2:7" ht="15.75" thickBot="1" x14ac:dyDescent="0.3">
      <c r="B13" s="46">
        <v>11</v>
      </c>
      <c r="C13" s="47" t="s">
        <v>44</v>
      </c>
      <c r="D13" s="45">
        <v>1</v>
      </c>
      <c r="E13" s="54">
        <f>E14*6%</f>
        <v>10511.34</v>
      </c>
      <c r="F13" s="49" t="s">
        <v>34</v>
      </c>
    </row>
    <row r="14" spans="2:7" ht="15.75" thickBot="1" x14ac:dyDescent="0.3">
      <c r="D14" s="50" t="s">
        <v>45</v>
      </c>
      <c r="E14" s="44">
        <f>SUM(E3:E12)+10383</f>
        <v>175189</v>
      </c>
      <c r="F14" s="50"/>
    </row>
    <row r="15" spans="2:7" ht="15.75" thickBot="1" x14ac:dyDescent="0.3">
      <c r="D15" s="50" t="s">
        <v>46</v>
      </c>
      <c r="E15" s="55">
        <f>(E14*[1]RESUMEN!B16)</f>
        <v>446731950</v>
      </c>
      <c r="F15" s="42">
        <f>SUM(F3:F13)</f>
        <v>392309000</v>
      </c>
      <c r="G15" s="13"/>
    </row>
    <row r="16" spans="2:7" ht="19.5" thickBot="1" x14ac:dyDescent="0.3">
      <c r="D16" s="84" t="s">
        <v>47</v>
      </c>
      <c r="E16" s="85"/>
      <c r="F16" s="51">
        <f>(E15+F15)/2</f>
        <v>419520475</v>
      </c>
    </row>
    <row r="18" spans="2:6" ht="15.75" thickBot="1" x14ac:dyDescent="0.3"/>
    <row r="19" spans="2:6" ht="45.75" customHeight="1" thickBot="1" x14ac:dyDescent="0.3">
      <c r="B19" s="86" t="s">
        <v>48</v>
      </c>
      <c r="C19" s="87"/>
      <c r="D19" s="87"/>
      <c r="E19" s="87"/>
      <c r="F19" s="88"/>
    </row>
  </sheetData>
  <mergeCells count="2">
    <mergeCell ref="D16:E16"/>
    <mergeCell ref="B19:F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"/>
  <sheetViews>
    <sheetView workbookViewId="0">
      <selection activeCell="B2" sqref="B2:G7"/>
    </sheetView>
  </sheetViews>
  <sheetFormatPr baseColWidth="10" defaultRowHeight="15" x14ac:dyDescent="0.25"/>
  <cols>
    <col min="5" max="5" width="13.28515625" bestFit="1" customWidth="1"/>
  </cols>
  <sheetData>
    <row r="1" spans="2:7" ht="15.75" thickBot="1" x14ac:dyDescent="0.3"/>
    <row r="2" spans="2:7" ht="17.25" thickBot="1" x14ac:dyDescent="0.35">
      <c r="B2" s="81" t="s">
        <v>51</v>
      </c>
      <c r="C2" s="82"/>
      <c r="D2" s="83"/>
      <c r="E2" s="57" t="s">
        <v>52</v>
      </c>
      <c r="F2" s="58" t="s">
        <v>31</v>
      </c>
      <c r="G2" s="57" t="s">
        <v>53</v>
      </c>
    </row>
    <row r="3" spans="2:7" ht="17.25" thickBot="1" x14ac:dyDescent="0.35">
      <c r="B3" s="59">
        <v>1</v>
      </c>
      <c r="C3" s="95" t="s">
        <v>51</v>
      </c>
      <c r="D3" s="96"/>
      <c r="E3" s="60">
        <f>6100000-E4</f>
        <v>5124000</v>
      </c>
      <c r="F3" s="61">
        <v>6500000</v>
      </c>
      <c r="G3" s="60">
        <v>6200000</v>
      </c>
    </row>
    <row r="4" spans="2:7" ht="17.25" thickBot="1" x14ac:dyDescent="0.35">
      <c r="B4" s="89" t="s">
        <v>18</v>
      </c>
      <c r="C4" s="90"/>
      <c r="D4" s="91"/>
      <c r="E4" s="60">
        <f>6100000*0.16</f>
        <v>976000</v>
      </c>
      <c r="F4" s="60">
        <f>F3*0.16</f>
        <v>1040000</v>
      </c>
      <c r="G4" s="60">
        <f>G3*0.16</f>
        <v>992000</v>
      </c>
    </row>
    <row r="5" spans="2:7" ht="17.25" thickBot="1" x14ac:dyDescent="0.35">
      <c r="B5" s="89" t="s">
        <v>21</v>
      </c>
      <c r="C5" s="90"/>
      <c r="D5" s="91"/>
      <c r="E5" s="60">
        <f>E3+E4</f>
        <v>6100000</v>
      </c>
      <c r="F5" s="60">
        <f>F3+F4</f>
        <v>7540000</v>
      </c>
      <c r="G5" s="60">
        <f>G3+G4</f>
        <v>7192000</v>
      </c>
    </row>
    <row r="6" spans="2:7" ht="17.25" thickBot="1" x14ac:dyDescent="0.35">
      <c r="B6" s="97" t="s">
        <v>47</v>
      </c>
      <c r="C6" s="98"/>
      <c r="D6" s="99"/>
      <c r="E6" s="100">
        <f>(E5+F5+G5)/3</f>
        <v>6944000</v>
      </c>
      <c r="F6" s="101"/>
      <c r="G6" s="102"/>
    </row>
    <row r="7" spans="2:7" ht="17.25" thickBot="1" x14ac:dyDescent="0.35">
      <c r="B7" s="89" t="s">
        <v>54</v>
      </c>
      <c r="C7" s="90"/>
      <c r="D7" s="91"/>
      <c r="E7" s="92">
        <f>E6*29</f>
        <v>201376000</v>
      </c>
      <c r="F7" s="93"/>
      <c r="G7" s="94"/>
    </row>
  </sheetData>
  <mergeCells count="8">
    <mergeCell ref="B7:D7"/>
    <mergeCell ref="E7:G7"/>
    <mergeCell ref="B2:D2"/>
    <mergeCell ref="C3:D3"/>
    <mergeCell ref="B4:D4"/>
    <mergeCell ref="B5:D5"/>
    <mergeCell ref="B6:D6"/>
    <mergeCell ref="E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TX 1KW</vt:lpstr>
      <vt:lpstr>TX 5KW</vt:lpstr>
      <vt:lpstr>TX 10KW</vt:lpstr>
      <vt:lpstr>Estudio Técnicos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Cristhian Enrique Gonzalez Avella</dc:creator>
  <cp:lastModifiedBy>Mayra Cuatin Cabrera</cp:lastModifiedBy>
  <dcterms:created xsi:type="dcterms:W3CDTF">2011-06-22T20:35:08Z</dcterms:created>
  <dcterms:modified xsi:type="dcterms:W3CDTF">2011-07-14T16:14:37Z</dcterms:modified>
</cp:coreProperties>
</file>