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599" firstSheet="5" activeTab="8"/>
  </bookViews>
  <sheets>
    <sheet name="EFIN" sheetId="1" r:id="rId1"/>
    <sheet name="UNIDAD MOVIL" sheetId="2" r:id="rId2"/>
    <sheet name="EQUIPO DE GRABACION DE PORTATIL" sheetId="3" r:id="rId3"/>
    <sheet name="SISTEMA DE EDICION PORTATIL" sheetId="4" r:id="rId4"/>
    <sheet name="EDICION NO LINEAL " sheetId="5" r:id="rId5"/>
    <sheet name="ENLANCE SATELITAL" sheetId="6" r:id="rId6"/>
    <sheet name="ESTUDIO" sheetId="7" r:id="rId7"/>
    <sheet name="MASTER CONTROL PARA ESTUDIO" sheetId="8" r:id="rId8"/>
    <sheet name="RESUMEN OFERTA ECONOMICA" sheetId="9" r:id="rId9"/>
  </sheets>
  <definedNames>
    <definedName name="_xlnm.Print_Area" localSheetId="4">'EDICION NO LINEAL '!$B$2:$E$29</definedName>
    <definedName name="_xlnm.Print_Area" localSheetId="0">'EFIN'!$A$3:$J$27</definedName>
    <definedName name="_xlnm.Print_Area" localSheetId="5">'ENLANCE SATELITAL'!$B$2:$E$29</definedName>
    <definedName name="_xlnm.Print_Area" localSheetId="2">'EQUIPO DE GRABACION DE PORTATIL'!$B$2:$E$29</definedName>
    <definedName name="_xlnm.Print_Area" localSheetId="6">'ESTUDIO'!$B$2:$E$29</definedName>
    <definedName name="_xlnm.Print_Area" localSheetId="7">'MASTER CONTROL PARA ESTUDIO'!$B$2:$E$29</definedName>
    <definedName name="_xlnm.Print_Area" localSheetId="8">'RESUMEN OFERTA ECONOMICA'!$B$3:$K$16</definedName>
    <definedName name="_xlnm.Print_Area" localSheetId="3">'SISTEMA DE EDICION PORTATIL'!$B$2:$E$29</definedName>
    <definedName name="_xlnm.Print_Area" localSheetId="1">'UNIDAD MOVIL'!$B$2:$E$29</definedName>
  </definedNames>
  <calcPr fullCalcOnLoad="1"/>
</workbook>
</file>

<file path=xl/sharedStrings.xml><?xml version="1.0" encoding="utf-8"?>
<sst xmlns="http://schemas.openxmlformats.org/spreadsheetml/2006/main" count="240" uniqueCount="65">
  <si>
    <t>EVALUACIÓN FINANCIERA</t>
  </si>
  <si>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</si>
  <si>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</si>
  <si>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</si>
  <si>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</si>
  <si>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</si>
  <si>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</si>
  <si>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</si>
  <si>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</si>
  <si>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 xml:space="preserve">II. Certificación de los Estados Financieros según Artículo 37 Ley 222/95.
</t>
  </si>
  <si>
    <t>INDICE DE CAPITAL DE TRABAJO</t>
  </si>
  <si>
    <t>INDICE DE PATRIMONIO LIQUIDO</t>
  </si>
  <si>
    <t>IPL= AT - PT</t>
  </si>
  <si>
    <t>ICT= AC - PC</t>
  </si>
  <si>
    <t>NOMBRE  PROPONENTE</t>
  </si>
  <si>
    <t>VALOR</t>
  </si>
  <si>
    <t>MEDIA GEOMETRICA</t>
  </si>
  <si>
    <t>PUNTAJE PROPUESTA</t>
  </si>
  <si>
    <t>RANGO</t>
  </si>
  <si>
    <t>VALORES</t>
  </si>
  <si>
    <t>PUNTAJE</t>
  </si>
  <si>
    <t>10,1%- Mayor</t>
  </si>
  <si>
    <t>7,1% - 10%</t>
  </si>
  <si>
    <t>5,1% - 7%</t>
  </si>
  <si>
    <t>3,1% - 5%</t>
  </si>
  <si>
    <t>0 - 3%</t>
  </si>
  <si>
    <t>MEDIA</t>
  </si>
  <si>
    <t>0 a -3%</t>
  </si>
  <si>
    <t xml:space="preserve"> - 3,1% a -5%</t>
  </si>
  <si>
    <t xml:space="preserve"> -  5,1% a -7%</t>
  </si>
  <si>
    <t>7,1% a -10%</t>
  </si>
  <si>
    <t>10,1% a - Mayor</t>
  </si>
  <si>
    <t>OFERTA DE COMISION POR ADMINISTRACION</t>
  </si>
  <si>
    <t>EVALUACIÓN ECONOMICA</t>
  </si>
  <si>
    <t>SERVICIOS TECNICOS</t>
  </si>
  <si>
    <t>TOTAL</t>
  </si>
  <si>
    <t>TELEVIDEO</t>
  </si>
  <si>
    <t>CMI UNION TEMPORAL  CMI CREATIVA</t>
  </si>
  <si>
    <t>CMI</t>
  </si>
  <si>
    <t>UNIDAD MOVIL</t>
  </si>
  <si>
    <t>EQUIPO DE GRABACION PORTATIL</t>
  </si>
  <si>
    <t>SISTEMA DE EDICION PORTATIL</t>
  </si>
  <si>
    <t>EDICION NO LINEAL</t>
  </si>
  <si>
    <t xml:space="preserve"> PARA CONTRATAR LA PRESTACIÓN DE SERVICIOS TÉCNICOS ASÍ COMO LA ADMINISTRACIÓN DELEGADA DEL RECURSO HUMANO Y LOGÍSTICO NECESARIO PRODUCCIÓN, REALIZACIÓN Y TRANSMISIÓN DE LOS ESPECIALES CULTURALES QUE SE EMITIRÁN POR EL CANAL SEÑALCOLOMBIA 
</t>
  </si>
  <si>
    <t>VIDEOBASE</t>
  </si>
  <si>
    <t>SPORTSAT</t>
  </si>
  <si>
    <t xml:space="preserve"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t>
  </si>
  <si>
    <t>ESTUDIO</t>
  </si>
  <si>
    <t>MASTER  CONTROL PARA ESTUDIO</t>
  </si>
  <si>
    <t>ENLACE SATELITAL, SEGMENTO SATELITAL, SISTEMA DE TRANSMISION VIA MICROONDAS</t>
  </si>
  <si>
    <t>INVITACION DIRECTA No.016 DE 2008</t>
  </si>
  <si>
    <t xml:space="preserve"> UNION TEMPORAL  SPORTSAT-VIDEOBASE</t>
  </si>
  <si>
    <t xml:space="preserve"> UNION TEMPORAL  VIRTUAL TELEVISION-ERNESTO CARRILLO</t>
  </si>
  <si>
    <t>TOTAL UNION TEMPORAL VIRTUAL TELEVISION-ERNESTO CARRILLO</t>
  </si>
  <si>
    <t>TOTAL UNION TEMPORAL SPORTSAT-VIDEOBASE</t>
  </si>
  <si>
    <t xml:space="preserve"> VIRTUAL TELEVISION</t>
  </si>
  <si>
    <t>ERNESTO CARRILLO</t>
  </si>
  <si>
    <t xml:space="preserve">I. Estados financieros comparativos 2006-2007 especificando el activo corriente, activo fijo, pasivo corriente y pasivo a largo plazo (Balance General y Estado de Pérdidas y Ganancias) firmados por el Representante Legal y el contador o Revisor Fiscal de la empresa si está obligado a tener.
</t>
  </si>
  <si>
    <t>III. Dictamen del revisor fiscal, o a falta de éste, de un Contador Público independiente según Artículo 38 Ley 222/95.</t>
  </si>
  <si>
    <t>IV. Notas a los Estados Financieros según Artículo 36 Ley 222/95.</t>
  </si>
  <si>
    <t>V. Certificados de vigencia y Antecedentes Disciplinarios del contador y/o del revisor fiscal, expedidos por la Junta Central de Contadores, con fecha no mayor a noventa (90) días calendario, anteriores a la fecha del presente proceso de contratación.</t>
  </si>
  <si>
    <t>PUNTAJE CMI</t>
  </si>
  <si>
    <t>PUNTAJE  UNION TEMPORAL  SPORTSAT-VIDEOBASE</t>
  </si>
  <si>
    <t>VI. Declaración de Renta correspondiente a los años 2006 y 2007</t>
  </si>
  <si>
    <t>Evalúa: Jefatura de Analisis Financiero y presupuesto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</si>
</sst>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_ ;\-#,##0\ 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00_ ;_ * \-#,##0.000_ ;_ * &quot;-&quot;??_ ;_ @_ "/>
    <numFmt numFmtId="188" formatCode="_ * #,##0.0000_ ;_ * \-#,##0.0000_ ;_ * &quot;-&quot;??_ ;_ @_ "/>
    <numFmt numFmtId="189" formatCode="0.00000000"/>
    <numFmt numFmtId="190" formatCode="0.0000000000"/>
    <numFmt numFmtId="191" formatCode="0.00000000000"/>
    <numFmt numFmtId="192" formatCode="0.000000000"/>
    <numFmt numFmtId="193" formatCode="0.0%"/>
    <numFmt numFmtId="194" formatCode="0.000%"/>
    <numFmt numFmtId="195" formatCode="_ * #,##0.00000_ ;_ * \-#,##0.00000_ ;_ * &quot;-&quot;??_ ;_ @_ "/>
    <numFmt numFmtId="196" formatCode="#,##0.0"/>
    <numFmt numFmtId="197" formatCode="[$€-2]\ #,##0.00_);[Red]\([$€-2]\ #,##0.00\)"/>
  </numFmts>
  <fonts count="41"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184" fontId="0" fillId="0" borderId="0" xfId="46" applyNumberFormat="1" applyAlignment="1">
      <alignment/>
    </xf>
    <xf numFmtId="18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84" fontId="0" fillId="0" borderId="0" xfId="46" applyNumberFormat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184" fontId="5" fillId="0" borderId="15" xfId="46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10" fontId="5" fillId="0" borderId="12" xfId="0" applyNumberFormat="1" applyFont="1" applyBorder="1" applyAlignment="1">
      <alignment horizontal="center"/>
    </xf>
    <xf numFmtId="10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1" fontId="1" fillId="0" borderId="10" xfId="46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52" applyFont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0" fontId="5" fillId="33" borderId="22" xfId="48" applyNumberFormat="1" applyFont="1" applyFill="1" applyBorder="1" applyAlignment="1">
      <alignment horizontal="center"/>
    </xf>
    <xf numFmtId="184" fontId="5" fillId="33" borderId="22" xfId="46" applyNumberFormat="1" applyFont="1" applyFill="1" applyBorder="1" applyAlignment="1">
      <alignment horizontal="center"/>
    </xf>
    <xf numFmtId="171" fontId="0" fillId="0" borderId="0" xfId="46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wrapText="1"/>
    </xf>
    <xf numFmtId="171" fontId="1" fillId="0" borderId="0" xfId="46" applyFont="1" applyAlignment="1">
      <alignment/>
    </xf>
    <xf numFmtId="0" fontId="3" fillId="33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9" fontId="1" fillId="0" borderId="17" xfId="52" applyFont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33" borderId="17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184" fontId="1" fillId="0" borderId="10" xfId="46" applyNumberFormat="1" applyFont="1" applyBorder="1" applyAlignment="1">
      <alignment horizontal="center"/>
    </xf>
    <xf numFmtId="184" fontId="1" fillId="0" borderId="17" xfId="46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84" fontId="0" fillId="0" borderId="17" xfId="46" applyNumberFormat="1" applyBorder="1" applyAlignment="1">
      <alignment/>
    </xf>
    <xf numFmtId="184" fontId="5" fillId="33" borderId="34" xfId="46" applyNumberFormat="1" applyFont="1" applyFill="1" applyBorder="1" applyAlignment="1">
      <alignment/>
    </xf>
    <xf numFmtId="184" fontId="0" fillId="0" borderId="0" xfId="46" applyNumberFormat="1" applyFont="1" applyAlignment="1">
      <alignment/>
    </xf>
    <xf numFmtId="184" fontId="1" fillId="0" borderId="0" xfId="46" applyNumberFormat="1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45" xfId="0" applyFont="1" applyBorder="1" applyAlignment="1">
      <alignment horizontal="center" vertical="justify" wrapText="1"/>
    </xf>
    <xf numFmtId="0" fontId="4" fillId="0" borderId="21" xfId="0" applyFont="1" applyBorder="1" applyAlignment="1">
      <alignment horizontal="center" vertical="justify" wrapText="1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33" borderId="4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B1">
      <selection activeCell="E8" sqref="E8"/>
    </sheetView>
  </sheetViews>
  <sheetFormatPr defaultColWidth="11.421875" defaultRowHeight="12.75"/>
  <cols>
    <col min="1" max="1" width="15.28125" style="4" customWidth="1"/>
    <col min="2" max="8" width="23.7109375" style="4" customWidth="1"/>
    <col min="9" max="9" width="17.00390625" style="4" customWidth="1"/>
    <col min="10" max="10" width="16.421875" style="4" customWidth="1"/>
    <col min="11" max="16384" width="11.421875" style="4" customWidth="1"/>
  </cols>
  <sheetData>
    <row r="2" ht="12.75" customHeight="1"/>
    <row r="3" spans="1:9" ht="12.75">
      <c r="A3" s="96" t="s">
        <v>0</v>
      </c>
      <c r="B3" s="96"/>
      <c r="C3" s="96"/>
      <c r="D3" s="96"/>
      <c r="E3" s="96"/>
      <c r="F3" s="96"/>
      <c r="G3" s="96"/>
      <c r="H3" s="96"/>
      <c r="I3" s="96"/>
    </row>
    <row r="4" spans="1:9" ht="26.25" customHeight="1">
      <c r="A4" s="97" t="s">
        <v>50</v>
      </c>
      <c r="B4" s="97"/>
      <c r="C4" s="97"/>
      <c r="D4" s="97"/>
      <c r="E4" s="97"/>
      <c r="F4" s="97"/>
      <c r="G4" s="97"/>
      <c r="H4" s="97"/>
      <c r="I4" s="97"/>
    </row>
    <row r="5" spans="1:9" ht="75" customHeight="1" thickBot="1">
      <c r="A5" s="100" t="s">
        <v>46</v>
      </c>
      <c r="B5" s="100"/>
      <c r="C5" s="100"/>
      <c r="D5" s="100"/>
      <c r="E5" s="100"/>
      <c r="F5" s="100"/>
      <c r="G5" s="100"/>
      <c r="H5" s="100"/>
      <c r="I5" s="100"/>
    </row>
    <row r="6" spans="1:8" ht="30" customHeight="1" thickBot="1">
      <c r="A6" s="101" t="s">
        <v>1</v>
      </c>
      <c r="B6" s="102"/>
      <c r="C6" s="105" t="s">
        <v>38</v>
      </c>
      <c r="D6" s="105" t="s">
        <v>36</v>
      </c>
      <c r="E6" s="121" t="s">
        <v>52</v>
      </c>
      <c r="F6" s="122"/>
      <c r="G6" s="123" t="s">
        <v>51</v>
      </c>
      <c r="H6" s="124"/>
    </row>
    <row r="7" spans="1:8" ht="39" customHeight="1" thickBot="1">
      <c r="A7" s="103"/>
      <c r="B7" s="104"/>
      <c r="C7" s="106"/>
      <c r="D7" s="106"/>
      <c r="E7" s="65" t="s">
        <v>55</v>
      </c>
      <c r="F7" s="65" t="s">
        <v>56</v>
      </c>
      <c r="G7" s="65" t="s">
        <v>45</v>
      </c>
      <c r="H7" s="66" t="s">
        <v>44</v>
      </c>
    </row>
    <row r="8" spans="1:8" ht="111" customHeight="1">
      <c r="A8" s="125" t="s">
        <v>57</v>
      </c>
      <c r="B8" s="126"/>
      <c r="C8" s="63" t="s">
        <v>2</v>
      </c>
      <c r="D8" s="63" t="s">
        <v>2</v>
      </c>
      <c r="E8" s="63" t="s">
        <v>2</v>
      </c>
      <c r="F8" s="63" t="s">
        <v>2</v>
      </c>
      <c r="G8" s="63" t="s">
        <v>2</v>
      </c>
      <c r="H8" s="64" t="s">
        <v>2</v>
      </c>
    </row>
    <row r="9" spans="1:8" ht="30" customHeight="1">
      <c r="A9" s="98" t="s">
        <v>9</v>
      </c>
      <c r="B9" s="99"/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36" t="s">
        <v>2</v>
      </c>
    </row>
    <row r="10" spans="1:8" ht="44.25" customHeight="1">
      <c r="A10" s="98" t="s">
        <v>58</v>
      </c>
      <c r="B10" s="99"/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36" t="s">
        <v>2</v>
      </c>
    </row>
    <row r="11" spans="1:8" ht="33" customHeight="1">
      <c r="A11" s="98" t="s">
        <v>59</v>
      </c>
      <c r="B11" s="99"/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36" t="s">
        <v>2</v>
      </c>
    </row>
    <row r="12" spans="1:8" ht="91.5" customHeight="1">
      <c r="A12" s="98" t="s">
        <v>60</v>
      </c>
      <c r="B12" s="99"/>
      <c r="C12" s="5" t="s">
        <v>2</v>
      </c>
      <c r="D12" s="5" t="s">
        <v>2</v>
      </c>
      <c r="E12" s="5" t="s">
        <v>2</v>
      </c>
      <c r="F12" s="5" t="s">
        <v>2</v>
      </c>
      <c r="G12" s="5" t="s">
        <v>2</v>
      </c>
      <c r="H12" s="36" t="s">
        <v>2</v>
      </c>
    </row>
    <row r="13" spans="1:8" ht="40.5" customHeight="1" thickBot="1">
      <c r="A13" s="98" t="s">
        <v>63</v>
      </c>
      <c r="B13" s="99"/>
      <c r="C13" s="5" t="s">
        <v>2</v>
      </c>
      <c r="D13" s="5" t="s">
        <v>2</v>
      </c>
      <c r="E13" s="5" t="s">
        <v>2</v>
      </c>
      <c r="F13" s="5" t="s">
        <v>2</v>
      </c>
      <c r="G13" s="5" t="s">
        <v>2</v>
      </c>
      <c r="H13" s="36" t="s">
        <v>2</v>
      </c>
    </row>
    <row r="14" spans="1:8" ht="13.5" thickBot="1">
      <c r="A14" s="112" t="s">
        <v>3</v>
      </c>
      <c r="B14" s="113"/>
      <c r="C14" s="67" t="s">
        <v>8</v>
      </c>
      <c r="D14" s="67" t="s">
        <v>8</v>
      </c>
      <c r="E14" s="67" t="s">
        <v>8</v>
      </c>
      <c r="F14" s="67" t="s">
        <v>8</v>
      </c>
      <c r="G14" s="67" t="s">
        <v>8</v>
      </c>
      <c r="H14" s="68" t="s">
        <v>8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2"/>
    </row>
    <row r="16" spans="1:8" ht="13.5" thickBot="1">
      <c r="A16" s="3"/>
      <c r="B16" s="3"/>
      <c r="C16" s="3"/>
      <c r="D16" s="3"/>
      <c r="E16" s="3"/>
      <c r="F16" s="3"/>
      <c r="G16" s="3"/>
      <c r="H16" s="3"/>
    </row>
    <row r="17" spans="1:10" ht="26.25" customHeight="1">
      <c r="A17" s="114"/>
      <c r="B17" s="115"/>
      <c r="C17" s="118" t="str">
        <f>+C6</f>
        <v>CMI</v>
      </c>
      <c r="D17" s="118" t="str">
        <f>+D6</f>
        <v>TELEVIDEO</v>
      </c>
      <c r="E17" s="118" t="str">
        <f>+E6</f>
        <v> UNION TEMPORAL  VIRTUAL TELEVISION-ERNESTO CARRILLO</v>
      </c>
      <c r="F17" s="118"/>
      <c r="G17" s="118"/>
      <c r="H17" s="110" t="s">
        <v>37</v>
      </c>
      <c r="I17" s="110"/>
      <c r="J17" s="111"/>
    </row>
    <row r="18" spans="1:10" ht="56.25" customHeight="1">
      <c r="A18" s="116"/>
      <c r="B18" s="117"/>
      <c r="C18" s="119"/>
      <c r="D18" s="120"/>
      <c r="E18" s="81" t="str">
        <f>+E7</f>
        <v> VIRTUAL TELEVISION</v>
      </c>
      <c r="F18" s="81" t="str">
        <f>+F7</f>
        <v>ERNESTO CARRILLO</v>
      </c>
      <c r="G18" s="80" t="s">
        <v>53</v>
      </c>
      <c r="H18" s="80" t="str">
        <f>+G7</f>
        <v>SPORTSAT</v>
      </c>
      <c r="I18" s="80" t="str">
        <f>+H7</f>
        <v>VIDEOBASE</v>
      </c>
      <c r="J18" s="83" t="s">
        <v>54</v>
      </c>
    </row>
    <row r="19" spans="1:10" ht="14.25" customHeight="1">
      <c r="A19" s="129" t="s">
        <v>4</v>
      </c>
      <c r="B19" s="130"/>
      <c r="C19" s="82"/>
      <c r="D19" s="82"/>
      <c r="E19" s="82"/>
      <c r="F19" s="82"/>
      <c r="G19" s="82"/>
      <c r="H19" s="82"/>
      <c r="I19" s="6"/>
      <c r="J19" s="84"/>
    </row>
    <row r="20" spans="1:10" ht="12.75">
      <c r="A20" s="131" t="s">
        <v>5</v>
      </c>
      <c r="B20" s="132"/>
      <c r="C20" s="34">
        <f>10246041707/2860759487</f>
        <v>3.581580959028731</v>
      </c>
      <c r="D20" s="34">
        <f>4713762061/3140731748</f>
        <v>1.5008483497521545</v>
      </c>
      <c r="E20" s="34">
        <f>1162156023/653151321</f>
        <v>1.779305936671297</v>
      </c>
      <c r="F20" s="34">
        <f>82690536/37503744</f>
        <v>2.2048608266950627</v>
      </c>
      <c r="G20" s="34">
        <f>+(E20*0.8)+(F20*0.2)</f>
        <v>1.8644169146760503</v>
      </c>
      <c r="H20" s="34">
        <f>760552/283610</f>
        <v>2.6816825922922325</v>
      </c>
      <c r="I20" s="34">
        <f>3559952743/3283990100</f>
        <v>1.084032726834347</v>
      </c>
      <c r="J20" s="69">
        <f>+(H20*0.5)+(I20*0.5)</f>
        <v>1.8828576595632898</v>
      </c>
    </row>
    <row r="21" spans="1:10" ht="12.75">
      <c r="A21" s="9" t="s">
        <v>6</v>
      </c>
      <c r="B21" s="8"/>
      <c r="C21" s="37"/>
      <c r="D21" s="37"/>
      <c r="E21" s="37"/>
      <c r="F21" s="37"/>
      <c r="G21" s="37"/>
      <c r="H21" s="37"/>
      <c r="I21" s="5"/>
      <c r="J21" s="36"/>
    </row>
    <row r="22" spans="1:10" ht="12.75">
      <c r="A22" s="131" t="s">
        <v>7</v>
      </c>
      <c r="B22" s="132"/>
      <c r="C22" s="39">
        <f>4581185625/16971190591</f>
        <v>0.2699389651206587</v>
      </c>
      <c r="D22" s="39">
        <f>4061900677/9480139645</f>
        <v>0.4284642240625982</v>
      </c>
      <c r="E22" s="39">
        <f>733151321/1369392341</f>
        <v>0.5353844176349165</v>
      </c>
      <c r="F22" s="39">
        <f>37503744/239370728</f>
        <v>0.1566764002990374</v>
      </c>
      <c r="G22" s="39">
        <f>+(E22*0.8)+(F22*0.2)</f>
        <v>0.45964281416774067</v>
      </c>
      <c r="H22" s="39">
        <f>821647/1872912</f>
        <v>0.43870026995395406</v>
      </c>
      <c r="I22" s="39">
        <f>3883001404/7092685544</f>
        <v>0.5474656080424704</v>
      </c>
      <c r="J22" s="70">
        <f>+(H22*0.5)+(I22*0.5)</f>
        <v>0.4930829389982122</v>
      </c>
    </row>
    <row r="23" spans="1:10" ht="12.75">
      <c r="A23" s="9" t="s">
        <v>10</v>
      </c>
      <c r="B23" s="6"/>
      <c r="C23" s="5"/>
      <c r="D23" s="5"/>
      <c r="E23" s="5"/>
      <c r="F23" s="5"/>
      <c r="G23" s="5"/>
      <c r="H23" s="5"/>
      <c r="I23" s="38"/>
      <c r="J23" s="36"/>
    </row>
    <row r="24" spans="1:10" ht="12.75">
      <c r="A24" s="131" t="s">
        <v>13</v>
      </c>
      <c r="B24" s="132"/>
      <c r="C24" s="35">
        <f>10246041707-2860759487</f>
        <v>7385282220</v>
      </c>
      <c r="D24" s="35">
        <f>4713762061-3140731748</f>
        <v>1573030313</v>
      </c>
      <c r="E24" s="35">
        <f>1162156023-653151321</f>
        <v>509004702</v>
      </c>
      <c r="F24" s="35">
        <f>82690536-37503744</f>
        <v>45186792</v>
      </c>
      <c r="G24" s="86">
        <f>+(E24*0.8)+(F24*0.2)</f>
        <v>416241120</v>
      </c>
      <c r="H24" s="86">
        <f>760552000-283610000</f>
        <v>476942000</v>
      </c>
      <c r="I24" s="35">
        <f>3559952743-3283990110</f>
        <v>275962633</v>
      </c>
      <c r="J24" s="87">
        <f>+(H24*0.5)+(I24*0.5)</f>
        <v>376452316.5</v>
      </c>
    </row>
    <row r="25" spans="1:10" ht="12.75">
      <c r="A25" s="9" t="s">
        <v>11</v>
      </c>
      <c r="B25" s="6"/>
      <c r="C25" s="5"/>
      <c r="D25" s="5"/>
      <c r="E25" s="5"/>
      <c r="F25" s="5"/>
      <c r="G25" s="5"/>
      <c r="H25" s="5"/>
      <c r="I25" s="38"/>
      <c r="J25" s="36"/>
    </row>
    <row r="26" spans="1:10" ht="12.75">
      <c r="A26" s="131" t="s">
        <v>12</v>
      </c>
      <c r="B26" s="132"/>
      <c r="C26" s="35">
        <f>16971190591-4581185625</f>
        <v>12390004966</v>
      </c>
      <c r="D26" s="35">
        <f>9480139645-4061900677</f>
        <v>5418238968</v>
      </c>
      <c r="E26" s="35">
        <f>1369392341-733151321</f>
        <v>636241020</v>
      </c>
      <c r="F26" s="35">
        <f>239370728-37503744</f>
        <v>201866984</v>
      </c>
      <c r="G26" s="86">
        <f>+(E26*0.8)+(F26*0.2)</f>
        <v>549366212.8</v>
      </c>
      <c r="H26" s="86">
        <f>1872912000-821647000</f>
        <v>1051265000</v>
      </c>
      <c r="I26" s="35">
        <f>7092685544-3883001404</f>
        <v>3209684140</v>
      </c>
      <c r="J26" s="87">
        <f>+(H26*0.5)+(I26*0.5)</f>
        <v>2130474570</v>
      </c>
    </row>
    <row r="27" spans="1:10" ht="13.5" thickBot="1">
      <c r="A27" s="127" t="s">
        <v>3</v>
      </c>
      <c r="B27" s="128"/>
      <c r="C27" s="7" t="s">
        <v>8</v>
      </c>
      <c r="D27" s="7" t="s">
        <v>8</v>
      </c>
      <c r="E27" s="107" t="s">
        <v>8</v>
      </c>
      <c r="F27" s="108"/>
      <c r="G27" s="109"/>
      <c r="H27" s="107" t="s">
        <v>8</v>
      </c>
      <c r="I27" s="108"/>
      <c r="J27" s="109"/>
    </row>
    <row r="29" spans="4:5" ht="12.75">
      <c r="D29" s="49"/>
      <c r="E29" s="49"/>
    </row>
    <row r="30" spans="4:5" ht="12.75">
      <c r="D30" s="49"/>
      <c r="E30" s="49"/>
    </row>
    <row r="31" ht="12.75">
      <c r="E31" s="49"/>
    </row>
    <row r="32" ht="12.75">
      <c r="E32" s="49"/>
    </row>
    <row r="33" spans="5:8" ht="12.75">
      <c r="E33" s="49"/>
      <c r="H33" s="49"/>
    </row>
    <row r="34" ht="12.75">
      <c r="E34" s="49"/>
    </row>
    <row r="36" ht="12.75">
      <c r="E36" s="95"/>
    </row>
  </sheetData>
  <sheetProtection/>
  <mergeCells count="28">
    <mergeCell ref="E6:F6"/>
    <mergeCell ref="G6:H6"/>
    <mergeCell ref="A8:B8"/>
    <mergeCell ref="A27:B27"/>
    <mergeCell ref="A19:B19"/>
    <mergeCell ref="A20:B20"/>
    <mergeCell ref="A22:B22"/>
    <mergeCell ref="A24:B24"/>
    <mergeCell ref="A26:B26"/>
    <mergeCell ref="C6:C7"/>
    <mergeCell ref="E27:G27"/>
    <mergeCell ref="H17:J17"/>
    <mergeCell ref="A14:B14"/>
    <mergeCell ref="A17:B18"/>
    <mergeCell ref="H27:J27"/>
    <mergeCell ref="C17:C18"/>
    <mergeCell ref="D17:D18"/>
    <mergeCell ref="E17:G17"/>
    <mergeCell ref="A3:I3"/>
    <mergeCell ref="A4:I4"/>
    <mergeCell ref="A12:B12"/>
    <mergeCell ref="A13:B13"/>
    <mergeCell ref="A5:I5"/>
    <mergeCell ref="A11:B11"/>
    <mergeCell ref="A10:B10"/>
    <mergeCell ref="A9:B9"/>
    <mergeCell ref="A6:B7"/>
    <mergeCell ref="D6:D7"/>
  </mergeCells>
  <printOptions horizontalCentered="1" verticalCentered="1"/>
  <pageMargins left="0.75" right="0.75" top="1" bottom="1" header="0" footer="0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B4">
      <selection activeCell="B36" sqref="B36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43" customWidth="1"/>
    <col min="9" max="9" width="12.28125" style="0" bestFit="1" customWidth="1"/>
  </cols>
  <sheetData>
    <row r="2" spans="2:7" s="4" customFormat="1" ht="12.75">
      <c r="B2" s="96" t="s">
        <v>33</v>
      </c>
      <c r="C2" s="96"/>
      <c r="D2" s="96"/>
      <c r="E2" s="96"/>
      <c r="F2" s="49"/>
      <c r="G2" s="49"/>
    </row>
    <row r="3" spans="2:7" s="4" customFormat="1" ht="26.25" customHeight="1">
      <c r="B3" s="97" t="str">
        <f>+EFIN!A4</f>
        <v>INVITACION DIRECTA No.016 DE 2008</v>
      </c>
      <c r="C3" s="97"/>
      <c r="D3" s="97"/>
      <c r="E3" s="97"/>
      <c r="F3" s="49"/>
      <c r="G3" s="49"/>
    </row>
    <row r="4" spans="2:7" s="4" customFormat="1" ht="119.25" customHeight="1">
      <c r="B4" s="100" t="s">
        <v>43</v>
      </c>
      <c r="C4" s="100"/>
      <c r="D4" s="100"/>
      <c r="E4" s="100"/>
      <c r="F4" s="49"/>
      <c r="G4" s="49"/>
    </row>
    <row r="6" ht="13.5" thickBot="1"/>
    <row r="7" spans="2:5" ht="13.5" thickBot="1">
      <c r="B7" s="133" t="s">
        <v>39</v>
      </c>
      <c r="C7" s="134"/>
      <c r="D7" s="11"/>
      <c r="E7" s="11"/>
    </row>
    <row r="8" spans="2:4" ht="12.75">
      <c r="B8" s="76" t="s">
        <v>14</v>
      </c>
      <c r="C8" s="77" t="s">
        <v>15</v>
      </c>
      <c r="D8" s="13"/>
    </row>
    <row r="9" spans="2:4" ht="12.75">
      <c r="B9" s="78" t="str">
        <f>+EFIN!$C$6</f>
        <v>CMI</v>
      </c>
      <c r="C9" s="91">
        <v>5400000</v>
      </c>
      <c r="D9" s="14"/>
    </row>
    <row r="10" spans="2:4" ht="25.5">
      <c r="B10" s="79" t="str">
        <f>+EFIN!$G$6</f>
        <v> UNION TEMPORAL  SPORTSAT-VIDEOBASE</v>
      </c>
      <c r="C10" s="91">
        <v>5550000</v>
      </c>
      <c r="D10" s="14"/>
    </row>
    <row r="11" spans="2:4" ht="13.5" thickBot="1">
      <c r="B11" s="15" t="s">
        <v>16</v>
      </c>
      <c r="C11" s="92">
        <f>GEOMEAN(C9:C10)</f>
        <v>5474486.277268396</v>
      </c>
      <c r="D11" s="11"/>
    </row>
    <row r="12" spans="2:4" ht="13.5" thickBot="1">
      <c r="B12" s="15" t="s">
        <v>61</v>
      </c>
      <c r="C12" s="41">
        <v>32</v>
      </c>
      <c r="D12" s="11"/>
    </row>
    <row r="13" spans="2:4" ht="26.25" thickBot="1">
      <c r="B13" s="40" t="s">
        <v>62</v>
      </c>
      <c r="C13" s="41">
        <v>32</v>
      </c>
      <c r="D13" s="11"/>
    </row>
    <row r="14" spans="2:4" ht="13.5" thickBot="1">
      <c r="B14" s="15" t="s">
        <v>17</v>
      </c>
      <c r="C14" s="42">
        <v>32</v>
      </c>
      <c r="D14" s="11"/>
    </row>
    <row r="15" spans="3:4" ht="13.5" thickBot="1">
      <c r="C15" s="11"/>
      <c r="D15" s="11"/>
    </row>
    <row r="16" spans="1:5" ht="12.75">
      <c r="A16" s="57"/>
      <c r="B16" s="16" t="s">
        <v>18</v>
      </c>
      <c r="C16" s="17" t="s">
        <v>19</v>
      </c>
      <c r="D16" s="17" t="s">
        <v>20</v>
      </c>
      <c r="E16" s="18"/>
    </row>
    <row r="17" spans="1:8" ht="12.75">
      <c r="A17" s="58" t="s">
        <v>21</v>
      </c>
      <c r="B17" s="20">
        <v>0.101</v>
      </c>
      <c r="C17" s="88">
        <f>+$C$22*(1+B17)</f>
        <v>6027409.391272504</v>
      </c>
      <c r="D17" s="55">
        <v>16</v>
      </c>
      <c r="E17" s="21">
        <f aca="true" t="shared" si="0" ref="E17:E27">+C17-$C$22</f>
        <v>552923.1140041081</v>
      </c>
      <c r="H17" s="54"/>
    </row>
    <row r="18" spans="1:8" ht="12.75">
      <c r="A18" s="58" t="s">
        <v>22</v>
      </c>
      <c r="B18" s="20">
        <v>0.1</v>
      </c>
      <c r="C18" s="88">
        <f>+$C$22*(1+B18)</f>
        <v>6021934.904995236</v>
      </c>
      <c r="D18" s="55">
        <v>20</v>
      </c>
      <c r="E18" s="21">
        <f t="shared" si="0"/>
        <v>547448.6277268399</v>
      </c>
      <c r="H18" s="54"/>
    </row>
    <row r="19" spans="1:8" ht="12.75">
      <c r="A19" s="58" t="s">
        <v>23</v>
      </c>
      <c r="B19" s="20">
        <v>0.07</v>
      </c>
      <c r="C19" s="88">
        <f>+$C$22*(1+B19)</f>
        <v>5857700.316677184</v>
      </c>
      <c r="D19" s="55">
        <v>24</v>
      </c>
      <c r="E19" s="21">
        <f t="shared" si="0"/>
        <v>383214.0394087881</v>
      </c>
      <c r="H19" s="54"/>
    </row>
    <row r="20" spans="1:8" ht="12.75">
      <c r="A20" s="58" t="s">
        <v>24</v>
      </c>
      <c r="B20" s="20">
        <v>0.05</v>
      </c>
      <c r="C20" s="88">
        <f>+$C$22*(1+B20)</f>
        <v>5748210.591131816</v>
      </c>
      <c r="D20" s="55">
        <v>28</v>
      </c>
      <c r="E20" s="21">
        <f t="shared" si="0"/>
        <v>273724.3138634199</v>
      </c>
      <c r="H20" s="54"/>
    </row>
    <row r="21" spans="1:8" ht="12.75">
      <c r="A21" s="58" t="s">
        <v>25</v>
      </c>
      <c r="B21" s="20">
        <v>0.03</v>
      </c>
      <c r="C21" s="62">
        <f>+$C$22*(1+B21)</f>
        <v>5638720.8655864475</v>
      </c>
      <c r="D21" s="61">
        <v>32</v>
      </c>
      <c r="E21" s="21">
        <f t="shared" si="0"/>
        <v>164234.58831805177</v>
      </c>
      <c r="H21" s="54"/>
    </row>
    <row r="22" spans="1:5" ht="12.75">
      <c r="A22" s="59"/>
      <c r="B22" s="22" t="s">
        <v>26</v>
      </c>
      <c r="C22" s="89">
        <f>+C11</f>
        <v>5474486.277268396</v>
      </c>
      <c r="D22" s="62">
        <v>32</v>
      </c>
      <c r="E22" s="21">
        <f t="shared" si="0"/>
        <v>0</v>
      </c>
    </row>
    <row r="23" spans="1:5" ht="12.75">
      <c r="A23" s="58" t="s">
        <v>27</v>
      </c>
      <c r="B23" s="20">
        <v>-0.03</v>
      </c>
      <c r="C23" s="62">
        <f>+$C$22*(1+B23)</f>
        <v>5310251.688950344</v>
      </c>
      <c r="D23" s="61">
        <v>32</v>
      </c>
      <c r="E23" s="21">
        <f t="shared" si="0"/>
        <v>-164234.58831805177</v>
      </c>
    </row>
    <row r="24" spans="1:5" ht="12.75">
      <c r="A24" s="58" t="s">
        <v>28</v>
      </c>
      <c r="B24" s="20">
        <v>-0.05</v>
      </c>
      <c r="C24" s="88">
        <f>+$C$22*(1+B24)</f>
        <v>5200761.963404976</v>
      </c>
      <c r="D24" s="55">
        <v>28</v>
      </c>
      <c r="E24" s="21">
        <f t="shared" si="0"/>
        <v>-273724.3138634199</v>
      </c>
    </row>
    <row r="25" spans="1:5" ht="12.75">
      <c r="A25" s="58" t="s">
        <v>29</v>
      </c>
      <c r="B25" s="20">
        <v>-0.07</v>
      </c>
      <c r="C25" s="88">
        <f>+$C$22*(1+B25)</f>
        <v>5091272.237859608</v>
      </c>
      <c r="D25" s="55">
        <v>24</v>
      </c>
      <c r="E25" s="21">
        <f t="shared" si="0"/>
        <v>-383214.0394087881</v>
      </c>
    </row>
    <row r="26" spans="1:5" ht="12.75">
      <c r="A26" s="58" t="s">
        <v>30</v>
      </c>
      <c r="B26" s="20">
        <v>-0.1</v>
      </c>
      <c r="C26" s="88">
        <f>+$C$22*(1+B26)</f>
        <v>4927037.649541556</v>
      </c>
      <c r="D26" s="55">
        <v>20</v>
      </c>
      <c r="E26" s="21">
        <f t="shared" si="0"/>
        <v>-547448.6277268399</v>
      </c>
    </row>
    <row r="27" spans="1:5" ht="13.5" thickBot="1">
      <c r="A27" s="60" t="s">
        <v>31</v>
      </c>
      <c r="B27" s="23">
        <v>-0.101</v>
      </c>
      <c r="C27" s="90">
        <f>+$C$22*(1+B27)</f>
        <v>4921563.163264288</v>
      </c>
      <c r="D27" s="56">
        <v>16</v>
      </c>
      <c r="E27" s="24">
        <f t="shared" si="0"/>
        <v>-552923.1140041081</v>
      </c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B5">
      <selection activeCell="B13" sqref="A13:IV13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43" customWidth="1"/>
    <col min="9" max="9" width="12.28125" style="0" bestFit="1" customWidth="1"/>
  </cols>
  <sheetData>
    <row r="2" spans="2:7" s="4" customFormat="1" ht="12.75">
      <c r="B2" s="96" t="s">
        <v>33</v>
      </c>
      <c r="C2" s="96"/>
      <c r="D2" s="96"/>
      <c r="E2" s="96"/>
      <c r="F2" s="49"/>
      <c r="G2" s="49"/>
    </row>
    <row r="3" spans="2:7" s="4" customFormat="1" ht="26.25" customHeight="1">
      <c r="B3" s="97" t="str">
        <f>+EFIN!A4</f>
        <v>INVITACION DIRECTA No.016 DE 2008</v>
      </c>
      <c r="C3" s="97"/>
      <c r="D3" s="97"/>
      <c r="E3" s="97"/>
      <c r="F3" s="49"/>
      <c r="G3" s="49"/>
    </row>
    <row r="4" spans="2:7" s="4" customFormat="1" ht="109.5" customHeight="1">
      <c r="B4" s="100" t="str">
        <f>+EFIN!A5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F4" s="49"/>
      <c r="G4" s="49"/>
    </row>
    <row r="6" ht="13.5" thickBot="1"/>
    <row r="7" spans="2:5" ht="13.5" thickBot="1">
      <c r="B7" s="133" t="s">
        <v>40</v>
      </c>
      <c r="C7" s="134"/>
      <c r="D7" s="11"/>
      <c r="E7" s="11"/>
    </row>
    <row r="8" spans="2:4" ht="12.75">
      <c r="B8" s="76" t="s">
        <v>14</v>
      </c>
      <c r="C8" s="77" t="s">
        <v>15</v>
      </c>
      <c r="D8" s="13"/>
    </row>
    <row r="9" spans="2:4" ht="12.75">
      <c r="B9" s="78" t="str">
        <f>+EFIN!$C$6</f>
        <v>CMI</v>
      </c>
      <c r="C9" s="91">
        <v>480000</v>
      </c>
      <c r="D9" s="14"/>
    </row>
    <row r="10" spans="2:4" ht="25.5">
      <c r="B10" s="79" t="str">
        <f>+EFIN!$G$6</f>
        <v> UNION TEMPORAL  SPORTSAT-VIDEOBASE</v>
      </c>
      <c r="C10" s="91">
        <v>462000</v>
      </c>
      <c r="D10" s="14"/>
    </row>
    <row r="11" spans="2:4" ht="13.5" thickBot="1">
      <c r="B11" s="15" t="s">
        <v>16</v>
      </c>
      <c r="C11" s="92">
        <f>GEOMEAN(C9:C10)</f>
        <v>470914.0048883656</v>
      </c>
      <c r="D11" s="11"/>
    </row>
    <row r="12" spans="2:4" ht="13.5" thickBot="1">
      <c r="B12" s="15" t="s">
        <v>61</v>
      </c>
      <c r="C12" s="41">
        <v>8</v>
      </c>
      <c r="D12" s="11"/>
    </row>
    <row r="13" spans="2:4" ht="26.25" thickBot="1">
      <c r="B13" s="40" t="s">
        <v>62</v>
      </c>
      <c r="C13" s="41">
        <v>8</v>
      </c>
      <c r="D13" s="11"/>
    </row>
    <row r="14" spans="2:4" ht="13.5" thickBot="1">
      <c r="B14" s="15" t="s">
        <v>17</v>
      </c>
      <c r="C14" s="42">
        <v>8</v>
      </c>
      <c r="D14" s="11"/>
    </row>
    <row r="15" spans="3:4" ht="13.5" thickBot="1">
      <c r="C15" s="11"/>
      <c r="D15" s="11"/>
    </row>
    <row r="16" spans="2:5" ht="12.75">
      <c r="B16" s="16" t="s">
        <v>18</v>
      </c>
      <c r="C16" s="17" t="s">
        <v>19</v>
      </c>
      <c r="D16" s="17" t="s">
        <v>20</v>
      </c>
      <c r="E16" s="18"/>
    </row>
    <row r="17" spans="1:5" ht="12.75">
      <c r="A17" s="19" t="s">
        <v>21</v>
      </c>
      <c r="B17" s="20">
        <v>0.101</v>
      </c>
      <c r="C17" s="88">
        <f>+$C$22*(1+B17)</f>
        <v>518476.3193820905</v>
      </c>
      <c r="D17" s="55">
        <v>4</v>
      </c>
      <c r="E17" s="21">
        <f aca="true" t="shared" si="0" ref="E17:E27">+C17-$C$22</f>
        <v>47562.3144937249</v>
      </c>
    </row>
    <row r="18" spans="1:5" ht="12.75">
      <c r="A18" s="19" t="s">
        <v>22</v>
      </c>
      <c r="B18" s="20">
        <v>0.1</v>
      </c>
      <c r="C18" s="88">
        <f>+$C$22*(1+B18)</f>
        <v>518005.40537720226</v>
      </c>
      <c r="D18" s="55">
        <v>5</v>
      </c>
      <c r="E18" s="21">
        <f t="shared" si="0"/>
        <v>47091.40048883663</v>
      </c>
    </row>
    <row r="19" spans="1:5" ht="12.75">
      <c r="A19" s="19" t="s">
        <v>23</v>
      </c>
      <c r="B19" s="20">
        <v>0.07</v>
      </c>
      <c r="C19" s="88">
        <f>+$C$22*(1+B19)</f>
        <v>503877.9852305513</v>
      </c>
      <c r="D19" s="55">
        <v>6</v>
      </c>
      <c r="E19" s="21">
        <f t="shared" si="0"/>
        <v>32963.98034218565</v>
      </c>
    </row>
    <row r="20" spans="1:5" ht="12.75">
      <c r="A20" s="19" t="s">
        <v>24</v>
      </c>
      <c r="B20" s="20">
        <v>0.05</v>
      </c>
      <c r="C20" s="88">
        <f>+$C$22*(1+B20)</f>
        <v>494459.7051327839</v>
      </c>
      <c r="D20" s="55">
        <v>7</v>
      </c>
      <c r="E20" s="21">
        <f t="shared" si="0"/>
        <v>23545.700244418287</v>
      </c>
    </row>
    <row r="21" spans="1:5" ht="12.75">
      <c r="A21" s="19" t="s">
        <v>25</v>
      </c>
      <c r="B21" s="20">
        <v>0.03</v>
      </c>
      <c r="C21" s="62">
        <f>+$C$22*(1+B21)</f>
        <v>485041.4250350166</v>
      </c>
      <c r="D21" s="61">
        <v>8</v>
      </c>
      <c r="E21" s="21">
        <f t="shared" si="0"/>
        <v>14127.420146650984</v>
      </c>
    </row>
    <row r="22" spans="2:5" ht="12.75">
      <c r="B22" s="22" t="s">
        <v>26</v>
      </c>
      <c r="C22" s="89">
        <f>+C11</f>
        <v>470914.0048883656</v>
      </c>
      <c r="D22" s="62">
        <v>8</v>
      </c>
      <c r="E22" s="21">
        <f t="shared" si="0"/>
        <v>0</v>
      </c>
    </row>
    <row r="23" spans="1:5" ht="12.75">
      <c r="A23" s="19" t="s">
        <v>27</v>
      </c>
      <c r="B23" s="20">
        <v>-0.03</v>
      </c>
      <c r="C23" s="62">
        <f>+$C$22*(1+B23)</f>
        <v>456786.58474171464</v>
      </c>
      <c r="D23" s="61">
        <v>8</v>
      </c>
      <c r="E23" s="21">
        <f t="shared" si="0"/>
        <v>-14127.420146650984</v>
      </c>
    </row>
    <row r="24" spans="1:5" ht="12.75">
      <c r="A24" s="19" t="s">
        <v>28</v>
      </c>
      <c r="B24" s="20">
        <v>-0.05</v>
      </c>
      <c r="C24" s="88">
        <f>+$C$22*(1+B24)</f>
        <v>447368.30464394734</v>
      </c>
      <c r="D24" s="55">
        <v>7</v>
      </c>
      <c r="E24" s="21">
        <f t="shared" si="0"/>
        <v>-23545.700244418287</v>
      </c>
    </row>
    <row r="25" spans="1:5" ht="12.75">
      <c r="A25" s="19" t="s">
        <v>29</v>
      </c>
      <c r="B25" s="20">
        <v>-0.07</v>
      </c>
      <c r="C25" s="88">
        <f>+$C$22*(1+B25)</f>
        <v>437950.02454618</v>
      </c>
      <c r="D25" s="55">
        <v>6</v>
      </c>
      <c r="E25" s="21">
        <f t="shared" si="0"/>
        <v>-32963.98034218565</v>
      </c>
    </row>
    <row r="26" spans="1:5" ht="12.75">
      <c r="A26" s="19" t="s">
        <v>30</v>
      </c>
      <c r="B26" s="20">
        <v>-0.1</v>
      </c>
      <c r="C26" s="88">
        <f>+$C$22*(1+B26)</f>
        <v>423822.60439952905</v>
      </c>
      <c r="D26" s="55">
        <v>5</v>
      </c>
      <c r="E26" s="21">
        <f t="shared" si="0"/>
        <v>-47091.400488836574</v>
      </c>
    </row>
    <row r="27" spans="1:5" ht="13.5" thickBot="1">
      <c r="A27" s="19" t="s">
        <v>31</v>
      </c>
      <c r="B27" s="23">
        <v>-0.101</v>
      </c>
      <c r="C27" s="90">
        <f>+$C$22*(1+B27)</f>
        <v>423351.6903946407</v>
      </c>
      <c r="D27" s="56">
        <v>4</v>
      </c>
      <c r="E27" s="24">
        <f t="shared" si="0"/>
        <v>-47562.3144937249</v>
      </c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B5">
      <selection activeCell="B13" sqref="A13:IV13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43" customWidth="1"/>
    <col min="9" max="9" width="12.28125" style="0" bestFit="1" customWidth="1"/>
  </cols>
  <sheetData>
    <row r="2" spans="2:7" s="4" customFormat="1" ht="12.75">
      <c r="B2" s="96" t="s">
        <v>33</v>
      </c>
      <c r="C2" s="96"/>
      <c r="D2" s="96"/>
      <c r="E2" s="96"/>
      <c r="F2" s="49"/>
      <c r="G2" s="49"/>
    </row>
    <row r="3" spans="2:7" s="4" customFormat="1" ht="26.25" customHeight="1">
      <c r="B3" s="97" t="str">
        <f>+EFIN!$A$4</f>
        <v>INVITACION DIRECTA No.016 DE 2008</v>
      </c>
      <c r="C3" s="97"/>
      <c r="D3" s="97"/>
      <c r="E3" s="97"/>
      <c r="F3" s="49"/>
      <c r="G3" s="49"/>
    </row>
    <row r="4" spans="2:7" s="4" customFormat="1" ht="109.5" customHeight="1">
      <c r="B4" s="100" t="str">
        <f>+EFIN!$A$5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F4" s="49"/>
      <c r="G4" s="49"/>
    </row>
    <row r="6" ht="13.5" thickBot="1"/>
    <row r="7" spans="2:5" ht="13.5" thickBot="1">
      <c r="B7" s="133" t="s">
        <v>41</v>
      </c>
      <c r="C7" s="134"/>
      <c r="D7" s="11"/>
      <c r="E7" s="11"/>
    </row>
    <row r="8" spans="2:4" ht="12.75">
      <c r="B8" s="76" t="s">
        <v>14</v>
      </c>
      <c r="C8" s="77" t="s">
        <v>15</v>
      </c>
      <c r="D8" s="13"/>
    </row>
    <row r="9" spans="2:4" ht="12.75">
      <c r="B9" s="78" t="str">
        <f>+EFIN!$C$6</f>
        <v>CMI</v>
      </c>
      <c r="C9" s="91">
        <v>576000</v>
      </c>
      <c r="D9" s="14"/>
    </row>
    <row r="10" spans="2:4" ht="25.5">
      <c r="B10" s="79" t="str">
        <f>+EFIN!$G$6</f>
        <v> UNION TEMPORAL  SPORTSAT-VIDEOBASE</v>
      </c>
      <c r="C10" s="91">
        <v>555000</v>
      </c>
      <c r="D10" s="14"/>
    </row>
    <row r="11" spans="2:4" ht="13.5" thickBot="1">
      <c r="B11" s="15" t="s">
        <v>16</v>
      </c>
      <c r="C11" s="92">
        <f>GEOMEAN(C9:C10)</f>
        <v>565402.511490708</v>
      </c>
      <c r="D11" s="11"/>
    </row>
    <row r="12" spans="2:4" ht="13.5" thickBot="1">
      <c r="B12" s="15" t="s">
        <v>61</v>
      </c>
      <c r="C12" s="41">
        <v>8</v>
      </c>
      <c r="D12" s="11"/>
    </row>
    <row r="13" spans="2:4" ht="26.25" thickBot="1">
      <c r="B13" s="40" t="s">
        <v>62</v>
      </c>
      <c r="C13" s="41">
        <v>8</v>
      </c>
      <c r="D13" s="11"/>
    </row>
    <row r="14" spans="2:4" ht="13.5" thickBot="1">
      <c r="B14" s="15" t="s">
        <v>17</v>
      </c>
      <c r="C14" s="42">
        <v>8</v>
      </c>
      <c r="D14" s="11"/>
    </row>
    <row r="15" spans="3:4" ht="13.5" thickBot="1">
      <c r="C15" s="11"/>
      <c r="D15" s="11"/>
    </row>
    <row r="16" spans="2:5" ht="12.75">
      <c r="B16" s="16" t="s">
        <v>18</v>
      </c>
      <c r="C16" s="17" t="s">
        <v>19</v>
      </c>
      <c r="D16" s="17" t="s">
        <v>20</v>
      </c>
      <c r="E16" s="18"/>
    </row>
    <row r="17" spans="1:5" ht="12.75">
      <c r="A17" s="19" t="s">
        <v>21</v>
      </c>
      <c r="B17" s="20">
        <v>0.101</v>
      </c>
      <c r="C17" s="88">
        <f>+$C$22*(1+B17)</f>
        <v>622508.1651512695</v>
      </c>
      <c r="D17" s="55">
        <v>4</v>
      </c>
      <c r="E17" s="21">
        <f aca="true" t="shared" si="0" ref="E17:E27">+C17-$C$22</f>
        <v>57105.65366056154</v>
      </c>
    </row>
    <row r="18" spans="1:5" ht="12.75">
      <c r="A18" s="19" t="s">
        <v>22</v>
      </c>
      <c r="B18" s="20">
        <v>0.1</v>
      </c>
      <c r="C18" s="88">
        <f>+$C$22*(1+B18)</f>
        <v>621942.7626397788</v>
      </c>
      <c r="D18" s="55">
        <v>5</v>
      </c>
      <c r="E18" s="21">
        <f t="shared" si="0"/>
        <v>56540.2511490708</v>
      </c>
    </row>
    <row r="19" spans="1:5" ht="12.75">
      <c r="A19" s="19" t="s">
        <v>23</v>
      </c>
      <c r="B19" s="20">
        <v>0.07</v>
      </c>
      <c r="C19" s="88">
        <f>+$C$22*(1+B19)</f>
        <v>604980.6872950576</v>
      </c>
      <c r="D19" s="55">
        <v>6</v>
      </c>
      <c r="E19" s="21">
        <f t="shared" si="0"/>
        <v>39578.175804349594</v>
      </c>
    </row>
    <row r="20" spans="1:5" ht="12.75">
      <c r="A20" s="19" t="s">
        <v>24</v>
      </c>
      <c r="B20" s="20">
        <v>0.05</v>
      </c>
      <c r="C20" s="88">
        <f>+$C$22*(1+B20)</f>
        <v>593672.6370652434</v>
      </c>
      <c r="D20" s="55">
        <v>7</v>
      </c>
      <c r="E20" s="21">
        <f t="shared" si="0"/>
        <v>28270.125574535457</v>
      </c>
    </row>
    <row r="21" spans="1:5" ht="12.75">
      <c r="A21" s="19" t="s">
        <v>25</v>
      </c>
      <c r="B21" s="20">
        <v>0.03</v>
      </c>
      <c r="C21" s="62">
        <f>+$C$22*(1+B21)</f>
        <v>582364.5868354292</v>
      </c>
      <c r="D21" s="61">
        <v>8</v>
      </c>
      <c r="E21" s="21">
        <f t="shared" si="0"/>
        <v>16962.075344721205</v>
      </c>
    </row>
    <row r="22" spans="2:5" ht="12.75">
      <c r="B22" s="22" t="s">
        <v>26</v>
      </c>
      <c r="C22" s="89">
        <f>+C11</f>
        <v>565402.511490708</v>
      </c>
      <c r="D22" s="62">
        <v>8</v>
      </c>
      <c r="E22" s="21">
        <f t="shared" si="0"/>
        <v>0</v>
      </c>
    </row>
    <row r="23" spans="1:5" ht="12.75">
      <c r="A23" s="19" t="s">
        <v>27</v>
      </c>
      <c r="B23" s="20">
        <v>-0.03</v>
      </c>
      <c r="C23" s="62">
        <f>+$C$22*(1+B23)</f>
        <v>548440.4361459868</v>
      </c>
      <c r="D23" s="61">
        <v>8</v>
      </c>
      <c r="E23" s="21">
        <f t="shared" si="0"/>
        <v>-16962.075344721205</v>
      </c>
    </row>
    <row r="24" spans="1:5" ht="12.75">
      <c r="A24" s="19" t="s">
        <v>28</v>
      </c>
      <c r="B24" s="20">
        <v>-0.05</v>
      </c>
      <c r="C24" s="88">
        <f>+$C$22*(1+B24)</f>
        <v>537132.3859161725</v>
      </c>
      <c r="D24" s="55">
        <v>7</v>
      </c>
      <c r="E24" s="21">
        <f t="shared" si="0"/>
        <v>-28270.125574535457</v>
      </c>
    </row>
    <row r="25" spans="1:5" ht="12.75">
      <c r="A25" s="19" t="s">
        <v>29</v>
      </c>
      <c r="B25" s="20">
        <v>-0.07</v>
      </c>
      <c r="C25" s="88">
        <f>+$C$22*(1+B25)</f>
        <v>525824.3356863584</v>
      </c>
      <c r="D25" s="55">
        <v>6</v>
      </c>
      <c r="E25" s="21">
        <f t="shared" si="0"/>
        <v>-39578.175804349594</v>
      </c>
    </row>
    <row r="26" spans="1:5" ht="12.75">
      <c r="A26" s="19" t="s">
        <v>30</v>
      </c>
      <c r="B26" s="20">
        <v>-0.1</v>
      </c>
      <c r="C26" s="88">
        <f>+$C$22*(1+B26)</f>
        <v>508862.2603416372</v>
      </c>
      <c r="D26" s="55">
        <v>5</v>
      </c>
      <c r="E26" s="21">
        <f t="shared" si="0"/>
        <v>-56540.2511490708</v>
      </c>
    </row>
    <row r="27" spans="1:5" ht="13.5" thickBot="1">
      <c r="A27" s="19" t="s">
        <v>31</v>
      </c>
      <c r="B27" s="23">
        <v>-0.101</v>
      </c>
      <c r="C27" s="90">
        <f>+$C$22*(1+B27)</f>
        <v>508296.8578301465</v>
      </c>
      <c r="D27" s="56">
        <v>4</v>
      </c>
      <c r="E27" s="24">
        <f t="shared" si="0"/>
        <v>-57105.65366056148</v>
      </c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B7">
      <selection activeCell="B12" sqref="B12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43" customWidth="1"/>
    <col min="9" max="9" width="12.28125" style="0" bestFit="1" customWidth="1"/>
  </cols>
  <sheetData>
    <row r="2" spans="2:7" s="4" customFormat="1" ht="12.75">
      <c r="B2" s="96" t="s">
        <v>33</v>
      </c>
      <c r="C2" s="96"/>
      <c r="D2" s="96"/>
      <c r="E2" s="96"/>
      <c r="F2" s="49"/>
      <c r="G2" s="49"/>
    </row>
    <row r="3" spans="2:7" s="4" customFormat="1" ht="26.25" customHeight="1">
      <c r="B3" s="97" t="str">
        <f>+EFIN!$A$4</f>
        <v>INVITACION DIRECTA No.016 DE 2008</v>
      </c>
      <c r="C3" s="97"/>
      <c r="D3" s="97"/>
      <c r="E3" s="97"/>
      <c r="F3" s="49"/>
      <c r="G3" s="49"/>
    </row>
    <row r="4" spans="2:7" s="4" customFormat="1" ht="109.5" customHeight="1">
      <c r="B4" s="100" t="str">
        <f>+EFIN!$A$5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F4" s="49"/>
      <c r="G4" s="49"/>
    </row>
    <row r="6" ht="13.5" thickBot="1"/>
    <row r="7" spans="2:5" ht="13.5" thickBot="1">
      <c r="B7" s="133" t="s">
        <v>42</v>
      </c>
      <c r="C7" s="134"/>
      <c r="D7" s="11"/>
      <c r="E7" s="11"/>
    </row>
    <row r="8" spans="2:4" ht="12.75">
      <c r="B8" s="76" t="s">
        <v>14</v>
      </c>
      <c r="C8" s="77" t="s">
        <v>15</v>
      </c>
      <c r="D8" s="13"/>
    </row>
    <row r="9" spans="2:4" ht="12.75">
      <c r="B9" s="78" t="str">
        <f>+EFIN!$C$6</f>
        <v>CMI</v>
      </c>
      <c r="C9" s="91">
        <v>576000</v>
      </c>
      <c r="D9" s="14"/>
    </row>
    <row r="10" spans="2:4" ht="25.5">
      <c r="B10" s="79" t="str">
        <f>+EFIN!$G$6</f>
        <v> UNION TEMPORAL  SPORTSAT-VIDEOBASE</v>
      </c>
      <c r="C10" s="91">
        <v>555000</v>
      </c>
      <c r="D10" s="14"/>
    </row>
    <row r="11" spans="2:4" ht="13.5" thickBot="1">
      <c r="B11" s="15" t="s">
        <v>16</v>
      </c>
      <c r="C11" s="92">
        <f>GEOMEAN(C9:C10)</f>
        <v>565402.511490708</v>
      </c>
      <c r="D11" s="11"/>
    </row>
    <row r="12" spans="2:4" ht="13.5" thickBot="1">
      <c r="B12" s="15" t="s">
        <v>61</v>
      </c>
      <c r="C12" s="41">
        <v>8</v>
      </c>
      <c r="D12" s="11"/>
    </row>
    <row r="13" spans="2:4" ht="26.25" thickBot="1">
      <c r="B13" s="40" t="s">
        <v>62</v>
      </c>
      <c r="C13" s="41">
        <v>8</v>
      </c>
      <c r="D13" s="11"/>
    </row>
    <row r="14" spans="2:4" ht="13.5" thickBot="1">
      <c r="B14" s="15" t="s">
        <v>17</v>
      </c>
      <c r="C14" s="42">
        <v>8</v>
      </c>
      <c r="D14" s="11"/>
    </row>
    <row r="15" spans="3:4" ht="13.5" thickBot="1">
      <c r="C15" s="11"/>
      <c r="D15" s="11"/>
    </row>
    <row r="16" spans="2:5" ht="12.75">
      <c r="B16" s="16" t="s">
        <v>18</v>
      </c>
      <c r="C16" s="17" t="s">
        <v>19</v>
      </c>
      <c r="D16" s="17" t="s">
        <v>20</v>
      </c>
      <c r="E16" s="18"/>
    </row>
    <row r="17" spans="1:5" ht="12.75">
      <c r="A17" s="19" t="s">
        <v>21</v>
      </c>
      <c r="B17" s="20">
        <v>0.101</v>
      </c>
      <c r="C17" s="88">
        <f>+$C$22*(1+B17)</f>
        <v>622508.1651512695</v>
      </c>
      <c r="D17" s="55">
        <v>4</v>
      </c>
      <c r="E17" s="21">
        <f aca="true" t="shared" si="0" ref="E17:E27">+C17-$C$22</f>
        <v>57105.65366056154</v>
      </c>
    </row>
    <row r="18" spans="1:5" ht="12.75">
      <c r="A18" s="19" t="s">
        <v>22</v>
      </c>
      <c r="B18" s="20">
        <v>0.1</v>
      </c>
      <c r="C18" s="88">
        <f>+$C$22*(1+B18)</f>
        <v>621942.7626397788</v>
      </c>
      <c r="D18" s="55">
        <v>5</v>
      </c>
      <c r="E18" s="21">
        <f t="shared" si="0"/>
        <v>56540.2511490708</v>
      </c>
    </row>
    <row r="19" spans="1:5" ht="12.75">
      <c r="A19" s="19" t="s">
        <v>23</v>
      </c>
      <c r="B19" s="20">
        <v>0.07</v>
      </c>
      <c r="C19" s="88">
        <f>+$C$22*(1+B19)</f>
        <v>604980.6872950576</v>
      </c>
      <c r="D19" s="55">
        <v>6</v>
      </c>
      <c r="E19" s="21">
        <f t="shared" si="0"/>
        <v>39578.175804349594</v>
      </c>
    </row>
    <row r="20" spans="1:5" ht="12.75">
      <c r="A20" s="19" t="s">
        <v>24</v>
      </c>
      <c r="B20" s="20">
        <v>0.05</v>
      </c>
      <c r="C20" s="88">
        <f>+$C$22*(1+B20)</f>
        <v>593672.6370652434</v>
      </c>
      <c r="D20" s="55">
        <v>7</v>
      </c>
      <c r="E20" s="21">
        <f t="shared" si="0"/>
        <v>28270.125574535457</v>
      </c>
    </row>
    <row r="21" spans="1:5" ht="12.75">
      <c r="A21" s="19" t="s">
        <v>25</v>
      </c>
      <c r="B21" s="20">
        <v>0.03</v>
      </c>
      <c r="C21" s="62">
        <f>+$C$22*(1+B21)</f>
        <v>582364.5868354292</v>
      </c>
      <c r="D21" s="61">
        <v>8</v>
      </c>
      <c r="E21" s="21">
        <f t="shared" si="0"/>
        <v>16962.075344721205</v>
      </c>
    </row>
    <row r="22" spans="2:5" ht="12.75">
      <c r="B22" s="22" t="s">
        <v>26</v>
      </c>
      <c r="C22" s="89">
        <f>+C11</f>
        <v>565402.511490708</v>
      </c>
      <c r="D22" s="62">
        <v>8</v>
      </c>
      <c r="E22" s="21">
        <f t="shared" si="0"/>
        <v>0</v>
      </c>
    </row>
    <row r="23" spans="1:5" ht="12.75">
      <c r="A23" s="19" t="s">
        <v>27</v>
      </c>
      <c r="B23" s="20">
        <v>-0.03</v>
      </c>
      <c r="C23" s="62">
        <f>+$C$22*(1+B23)</f>
        <v>548440.4361459868</v>
      </c>
      <c r="D23" s="61">
        <v>8</v>
      </c>
      <c r="E23" s="21">
        <f t="shared" si="0"/>
        <v>-16962.075344721205</v>
      </c>
    </row>
    <row r="24" spans="1:5" ht="12.75">
      <c r="A24" s="19" t="s">
        <v>28</v>
      </c>
      <c r="B24" s="20">
        <v>-0.05</v>
      </c>
      <c r="C24" s="88">
        <f>+$C$22*(1+B24)</f>
        <v>537132.3859161725</v>
      </c>
      <c r="D24" s="55">
        <v>7</v>
      </c>
      <c r="E24" s="21">
        <f t="shared" si="0"/>
        <v>-28270.125574535457</v>
      </c>
    </row>
    <row r="25" spans="1:5" ht="12.75">
      <c r="A25" s="19" t="s">
        <v>29</v>
      </c>
      <c r="B25" s="20">
        <v>-0.07</v>
      </c>
      <c r="C25" s="88">
        <f>+$C$22*(1+B25)</f>
        <v>525824.3356863584</v>
      </c>
      <c r="D25" s="55">
        <v>6</v>
      </c>
      <c r="E25" s="21">
        <f t="shared" si="0"/>
        <v>-39578.175804349594</v>
      </c>
    </row>
    <row r="26" spans="1:5" ht="12.75">
      <c r="A26" s="19" t="s">
        <v>30</v>
      </c>
      <c r="B26" s="20">
        <v>-0.1</v>
      </c>
      <c r="C26" s="88">
        <f>+$C$22*(1+B26)</f>
        <v>508862.2603416372</v>
      </c>
      <c r="D26" s="55">
        <v>5</v>
      </c>
      <c r="E26" s="21">
        <f t="shared" si="0"/>
        <v>-56540.2511490708</v>
      </c>
    </row>
    <row r="27" spans="1:5" ht="13.5" thickBot="1">
      <c r="A27" s="19" t="s">
        <v>31</v>
      </c>
      <c r="B27" s="23">
        <v>-0.101</v>
      </c>
      <c r="C27" s="90">
        <f>+$C$22*(1+B27)</f>
        <v>508296.8578301465</v>
      </c>
      <c r="D27" s="56">
        <v>4</v>
      </c>
      <c r="E27" s="24">
        <f t="shared" si="0"/>
        <v>-57105.65366056148</v>
      </c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B5">
      <selection activeCell="C22" sqref="C22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6" width="14.8515625" style="0" bestFit="1" customWidth="1"/>
    <col min="7" max="7" width="15.140625" style="43" customWidth="1"/>
    <col min="8" max="8" width="12.8515625" style="93" bestFit="1" customWidth="1"/>
    <col min="9" max="9" width="12.28125" style="43" bestFit="1" customWidth="1"/>
    <col min="10" max="10" width="11.421875" style="43" customWidth="1"/>
  </cols>
  <sheetData>
    <row r="2" spans="2:10" s="4" customFormat="1" ht="12.75">
      <c r="B2" s="96" t="s">
        <v>33</v>
      </c>
      <c r="C2" s="96"/>
      <c r="D2" s="96"/>
      <c r="E2" s="96"/>
      <c r="G2" s="49"/>
      <c r="H2" s="94"/>
      <c r="I2" s="49"/>
      <c r="J2" s="49"/>
    </row>
    <row r="3" spans="2:10" s="4" customFormat="1" ht="26.25" customHeight="1">
      <c r="B3" s="97" t="str">
        <f>+EFIN!$A$4</f>
        <v>INVITACION DIRECTA No.016 DE 2008</v>
      </c>
      <c r="C3" s="97"/>
      <c r="D3" s="97"/>
      <c r="E3" s="97"/>
      <c r="G3" s="49"/>
      <c r="H3" s="94"/>
      <c r="I3" s="49"/>
      <c r="J3" s="49"/>
    </row>
    <row r="4" spans="2:10" s="4" customFormat="1" ht="109.5" customHeight="1">
      <c r="B4" s="100" t="str">
        <f>+EFIN!$A$5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G4" s="49"/>
      <c r="H4" s="94"/>
      <c r="I4" s="49"/>
      <c r="J4" s="49"/>
    </row>
    <row r="6" ht="13.5" thickBot="1"/>
    <row r="7" spans="2:6" ht="36.75" customHeight="1" thickBot="1">
      <c r="B7" s="135" t="s">
        <v>49</v>
      </c>
      <c r="C7" s="136"/>
      <c r="D7" s="11"/>
      <c r="E7" s="11"/>
      <c r="F7" s="12"/>
    </row>
    <row r="8" spans="2:4" ht="12.75">
      <c r="B8" s="76" t="s">
        <v>14</v>
      </c>
      <c r="C8" s="77" t="s">
        <v>15</v>
      </c>
      <c r="D8" s="13"/>
    </row>
    <row r="9" spans="2:6" ht="12.75">
      <c r="B9" s="78" t="str">
        <f>+EFIN!$C$6</f>
        <v>CMI</v>
      </c>
      <c r="C9" s="91">
        <f>5600000+500000+940500</f>
        <v>7040500</v>
      </c>
      <c r="D9" s="14"/>
      <c r="F9" s="12"/>
    </row>
    <row r="10" spans="2:6" ht="25.5">
      <c r="B10" s="79" t="str">
        <f>+EFIN!$G$6</f>
        <v> UNION TEMPORAL  SPORTSAT-VIDEOBASE</v>
      </c>
      <c r="C10" s="91">
        <f>5170000+461000+915000</f>
        <v>6546000</v>
      </c>
      <c r="D10" s="14"/>
      <c r="F10" s="12"/>
    </row>
    <row r="11" spans="2:6" ht="13.5" thickBot="1">
      <c r="B11" s="15" t="s">
        <v>16</v>
      </c>
      <c r="C11" s="92">
        <f>GEOMEAN(C9:C10)</f>
        <v>6788749.001104695</v>
      </c>
      <c r="D11" s="11"/>
      <c r="F11" s="12"/>
    </row>
    <row r="12" spans="2:6" ht="13.5" thickBot="1">
      <c r="B12" s="15" t="s">
        <v>61</v>
      </c>
      <c r="C12" s="41">
        <v>6</v>
      </c>
      <c r="D12" s="11"/>
      <c r="F12" s="12"/>
    </row>
    <row r="13" spans="2:6" ht="26.25" thickBot="1">
      <c r="B13" s="40" t="s">
        <v>62</v>
      </c>
      <c r="C13" s="41">
        <v>8</v>
      </c>
      <c r="D13" s="11"/>
      <c r="F13" s="12"/>
    </row>
    <row r="14" spans="2:6" ht="13.5" thickBot="1">
      <c r="B14" s="15" t="s">
        <v>17</v>
      </c>
      <c r="C14" s="42">
        <v>8</v>
      </c>
      <c r="D14" s="11"/>
      <c r="F14" s="12"/>
    </row>
    <row r="15" spans="3:6" ht="13.5" thickBot="1">
      <c r="C15" s="11"/>
      <c r="D15" s="11"/>
      <c r="F15" s="12"/>
    </row>
    <row r="16" spans="2:6" ht="12.75">
      <c r="B16" s="16" t="s">
        <v>18</v>
      </c>
      <c r="C16" s="17" t="s">
        <v>19</v>
      </c>
      <c r="D16" s="17" t="s">
        <v>20</v>
      </c>
      <c r="E16" s="18"/>
      <c r="F16" s="12"/>
    </row>
    <row r="17" spans="1:5" ht="12.75">
      <c r="A17" s="19" t="s">
        <v>21</v>
      </c>
      <c r="B17" s="20">
        <v>0.101</v>
      </c>
      <c r="C17" s="88">
        <f>+$C$22*(1+B17)</f>
        <v>7474412.650216268</v>
      </c>
      <c r="D17" s="55">
        <v>4</v>
      </c>
      <c r="E17" s="21">
        <f aca="true" t="shared" si="0" ref="E17:E27">+C17-$C$22</f>
        <v>685663.6491115736</v>
      </c>
    </row>
    <row r="18" spans="1:5" ht="12.75">
      <c r="A18" s="19" t="s">
        <v>22</v>
      </c>
      <c r="B18" s="20">
        <v>0.1</v>
      </c>
      <c r="C18" s="88">
        <f>+$C$22*(1+B18)</f>
        <v>7467623.901215165</v>
      </c>
      <c r="D18" s="55">
        <v>5</v>
      </c>
      <c r="E18" s="21">
        <f t="shared" si="0"/>
        <v>678874.9001104701</v>
      </c>
    </row>
    <row r="19" spans="1:5" ht="12.75">
      <c r="A19" s="19" t="s">
        <v>23</v>
      </c>
      <c r="B19" s="20">
        <v>0.07</v>
      </c>
      <c r="C19" s="88">
        <f>+$C$22*(1+B19)</f>
        <v>7263961.431182024</v>
      </c>
      <c r="D19" s="55">
        <v>6</v>
      </c>
      <c r="E19" s="21">
        <f t="shared" si="0"/>
        <v>475212.4300773293</v>
      </c>
    </row>
    <row r="20" spans="1:5" ht="12.75">
      <c r="A20" s="19" t="s">
        <v>24</v>
      </c>
      <c r="B20" s="20">
        <v>0.05</v>
      </c>
      <c r="C20" s="88">
        <f>+$C$22*(1+B20)</f>
        <v>7128186.45115993</v>
      </c>
      <c r="D20" s="55">
        <v>7</v>
      </c>
      <c r="E20" s="21">
        <f t="shared" si="0"/>
        <v>339437.45005523507</v>
      </c>
    </row>
    <row r="21" spans="1:5" ht="12.75">
      <c r="A21" s="19" t="s">
        <v>25</v>
      </c>
      <c r="B21" s="20">
        <v>0.03</v>
      </c>
      <c r="C21" s="62">
        <f>+$C$22*(1+B21)</f>
        <v>6992411.471137836</v>
      </c>
      <c r="D21" s="61">
        <v>8</v>
      </c>
      <c r="E21" s="21">
        <f t="shared" si="0"/>
        <v>203662.47003314085</v>
      </c>
    </row>
    <row r="22" spans="2:6" ht="12.75">
      <c r="B22" s="22" t="s">
        <v>26</v>
      </c>
      <c r="C22" s="89">
        <f>+C11</f>
        <v>6788749.001104695</v>
      </c>
      <c r="D22" s="62">
        <v>8</v>
      </c>
      <c r="E22" s="21">
        <f t="shared" si="0"/>
        <v>0</v>
      </c>
      <c r="F22" s="12"/>
    </row>
    <row r="23" spans="1:6" ht="12.75">
      <c r="A23" s="19" t="s">
        <v>27</v>
      </c>
      <c r="B23" s="20">
        <v>-0.03</v>
      </c>
      <c r="C23" s="62">
        <f>+$C$22*(1+B23)</f>
        <v>6585086.531071554</v>
      </c>
      <c r="D23" s="61">
        <v>8</v>
      </c>
      <c r="E23" s="21">
        <f t="shared" si="0"/>
        <v>-203662.47003314085</v>
      </c>
      <c r="F23" s="12"/>
    </row>
    <row r="24" spans="1:6" ht="12.75">
      <c r="A24" s="19" t="s">
        <v>28</v>
      </c>
      <c r="B24" s="20">
        <v>-0.05</v>
      </c>
      <c r="C24" s="88">
        <f>+$C$22*(1+B24)</f>
        <v>6449311.55104946</v>
      </c>
      <c r="D24" s="55">
        <v>7</v>
      </c>
      <c r="E24" s="21">
        <f t="shared" si="0"/>
        <v>-339437.45005523507</v>
      </c>
      <c r="F24" s="12"/>
    </row>
    <row r="25" spans="1:6" ht="12.75">
      <c r="A25" s="19" t="s">
        <v>29</v>
      </c>
      <c r="B25" s="20">
        <v>-0.07</v>
      </c>
      <c r="C25" s="88">
        <f>+$C$22*(1+B25)</f>
        <v>6313536.5710273655</v>
      </c>
      <c r="D25" s="55">
        <v>6</v>
      </c>
      <c r="E25" s="21">
        <f t="shared" si="0"/>
        <v>-475212.4300773293</v>
      </c>
      <c r="F25" s="12"/>
    </row>
    <row r="26" spans="1:6" ht="12.75">
      <c r="A26" s="19" t="s">
        <v>30</v>
      </c>
      <c r="B26" s="20">
        <v>-0.1</v>
      </c>
      <c r="C26" s="88">
        <f>+$C$22*(1+B26)</f>
        <v>6109874.100994226</v>
      </c>
      <c r="D26" s="55">
        <v>5</v>
      </c>
      <c r="E26" s="21">
        <f t="shared" si="0"/>
        <v>-678874.9001104692</v>
      </c>
      <c r="F26" s="12"/>
    </row>
    <row r="27" spans="1:6" ht="13.5" thickBot="1">
      <c r="A27" s="19" t="s">
        <v>31</v>
      </c>
      <c r="B27" s="23">
        <v>-0.101</v>
      </c>
      <c r="C27" s="90">
        <f>+$C$22*(1+B27)</f>
        <v>6103085.351993121</v>
      </c>
      <c r="D27" s="56">
        <v>4</v>
      </c>
      <c r="E27" s="24">
        <f t="shared" si="0"/>
        <v>-685663.6491115736</v>
      </c>
      <c r="F27" s="12"/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B5">
      <selection activeCell="B13" sqref="A13:IV13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0" customWidth="1"/>
    <col min="9" max="9" width="12.28125" style="0" bestFit="1" customWidth="1"/>
  </cols>
  <sheetData>
    <row r="2" spans="2:6" s="4" customFormat="1" ht="12.75">
      <c r="B2" s="96" t="s">
        <v>33</v>
      </c>
      <c r="C2" s="96"/>
      <c r="D2" s="96"/>
      <c r="E2" s="96"/>
      <c r="F2" s="49"/>
    </row>
    <row r="3" spans="2:6" s="4" customFormat="1" ht="26.25" customHeight="1">
      <c r="B3" s="97" t="str">
        <f>+EFIN!$A$4</f>
        <v>INVITACION DIRECTA No.016 DE 2008</v>
      </c>
      <c r="C3" s="97"/>
      <c r="D3" s="97"/>
      <c r="E3" s="97"/>
      <c r="F3" s="49"/>
    </row>
    <row r="4" spans="2:6" s="4" customFormat="1" ht="109.5" customHeight="1">
      <c r="B4" s="100" t="str">
        <f>+EFIN!$A$5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F4" s="49"/>
    </row>
    <row r="6" ht="13.5" thickBot="1"/>
    <row r="7" spans="2:7" ht="13.5" thickBot="1">
      <c r="B7" s="133" t="s">
        <v>47</v>
      </c>
      <c r="C7" s="134"/>
      <c r="D7" s="11"/>
      <c r="E7" s="11"/>
      <c r="G7" s="43"/>
    </row>
    <row r="8" spans="2:4" ht="12.75">
      <c r="B8" s="76" t="s">
        <v>14</v>
      </c>
      <c r="C8" s="77" t="s">
        <v>15</v>
      </c>
      <c r="D8" s="13"/>
    </row>
    <row r="9" spans="2:4" ht="12.75">
      <c r="B9" s="78" t="str">
        <f>+EFIN!$C$6</f>
        <v>CMI</v>
      </c>
      <c r="C9" s="91">
        <v>1400000</v>
      </c>
      <c r="D9" s="14"/>
    </row>
    <row r="10" spans="2:4" ht="25.5">
      <c r="B10" s="79" t="str">
        <f>+EFIN!$G$6</f>
        <v> UNION TEMPORAL  SPORTSAT-VIDEOBASE</v>
      </c>
      <c r="C10" s="91">
        <v>1385000</v>
      </c>
      <c r="D10" s="14"/>
    </row>
    <row r="11" spans="2:4" ht="13.5" thickBot="1">
      <c r="B11" s="15" t="s">
        <v>16</v>
      </c>
      <c r="C11" s="92">
        <f>GEOMEAN(C9:C10)</f>
        <v>1392479.8023669848</v>
      </c>
      <c r="D11" s="11"/>
    </row>
    <row r="12" spans="2:4" ht="13.5" thickBot="1">
      <c r="B12" s="15" t="s">
        <v>61</v>
      </c>
      <c r="C12" s="41">
        <v>8</v>
      </c>
      <c r="D12" s="11"/>
    </row>
    <row r="13" spans="2:4" ht="26.25" thickBot="1">
      <c r="B13" s="40" t="s">
        <v>62</v>
      </c>
      <c r="C13" s="41">
        <v>8</v>
      </c>
      <c r="D13" s="11"/>
    </row>
    <row r="14" spans="2:4" ht="13.5" thickBot="1">
      <c r="B14" s="15" t="s">
        <v>17</v>
      </c>
      <c r="C14" s="42">
        <v>8</v>
      </c>
      <c r="D14" s="11"/>
    </row>
    <row r="15" spans="3:4" ht="13.5" thickBot="1">
      <c r="C15" s="11"/>
      <c r="D15" s="11"/>
    </row>
    <row r="16" spans="2:5" ht="12.75">
      <c r="B16" s="16" t="s">
        <v>18</v>
      </c>
      <c r="C16" s="17" t="s">
        <v>19</v>
      </c>
      <c r="D16" s="17" t="s">
        <v>20</v>
      </c>
      <c r="E16" s="18"/>
    </row>
    <row r="17" spans="1:5" ht="12.75">
      <c r="A17" s="19" t="s">
        <v>21</v>
      </c>
      <c r="B17" s="20">
        <v>0.101</v>
      </c>
      <c r="C17" s="88">
        <f>+$C$22*(1+B17)</f>
        <v>1533120.2624060502</v>
      </c>
      <c r="D17" s="55">
        <v>4</v>
      </c>
      <c r="E17" s="21">
        <f aca="true" t="shared" si="0" ref="E17:E27">+C17-$C$22</f>
        <v>140640.46003906545</v>
      </c>
    </row>
    <row r="18" spans="1:5" ht="12.75">
      <c r="A18" s="19" t="s">
        <v>22</v>
      </c>
      <c r="B18" s="20">
        <v>0.1</v>
      </c>
      <c r="C18" s="88">
        <f>+$C$22*(1+B18)</f>
        <v>1531727.7826036834</v>
      </c>
      <c r="D18" s="55">
        <v>5</v>
      </c>
      <c r="E18" s="21">
        <f t="shared" si="0"/>
        <v>139247.98023669864</v>
      </c>
    </row>
    <row r="19" spans="1:5" ht="12.75">
      <c r="A19" s="19" t="s">
        <v>23</v>
      </c>
      <c r="B19" s="20">
        <v>0.07</v>
      </c>
      <c r="C19" s="88">
        <f>+$C$22*(1+B19)</f>
        <v>1489953.3885326737</v>
      </c>
      <c r="D19" s="55">
        <v>6</v>
      </c>
      <c r="E19" s="21">
        <f t="shared" si="0"/>
        <v>97473.58616568893</v>
      </c>
    </row>
    <row r="20" spans="1:5" ht="12.75">
      <c r="A20" s="19" t="s">
        <v>24</v>
      </c>
      <c r="B20" s="20">
        <v>0.05</v>
      </c>
      <c r="C20" s="88">
        <f>+$C$22*(1+B20)</f>
        <v>1462103.792485334</v>
      </c>
      <c r="D20" s="55">
        <v>7</v>
      </c>
      <c r="E20" s="21">
        <f t="shared" si="0"/>
        <v>69623.9901183492</v>
      </c>
    </row>
    <row r="21" spans="1:5" ht="12.75">
      <c r="A21" s="19" t="s">
        <v>25</v>
      </c>
      <c r="B21" s="20">
        <v>0.03</v>
      </c>
      <c r="C21" s="62">
        <f>+$C$22*(1+B21)</f>
        <v>1434254.1964379943</v>
      </c>
      <c r="D21" s="61">
        <v>8</v>
      </c>
      <c r="E21" s="21">
        <f t="shared" si="0"/>
        <v>41774.394071009476</v>
      </c>
    </row>
    <row r="22" spans="2:5" ht="12.75">
      <c r="B22" s="22" t="s">
        <v>26</v>
      </c>
      <c r="C22" s="89">
        <f>+C11</f>
        <v>1392479.8023669848</v>
      </c>
      <c r="D22" s="62">
        <v>8</v>
      </c>
      <c r="E22" s="21">
        <f t="shared" si="0"/>
        <v>0</v>
      </c>
    </row>
    <row r="23" spans="1:5" ht="12.75">
      <c r="A23" s="19" t="s">
        <v>27</v>
      </c>
      <c r="B23" s="20">
        <v>-0.03</v>
      </c>
      <c r="C23" s="62">
        <f>+$C$22*(1+B23)</f>
        <v>1350705.4082959753</v>
      </c>
      <c r="D23" s="61">
        <v>8</v>
      </c>
      <c r="E23" s="21">
        <f t="shared" si="0"/>
        <v>-41774.394071009476</v>
      </c>
    </row>
    <row r="24" spans="1:5" ht="12.75">
      <c r="A24" s="19" t="s">
        <v>28</v>
      </c>
      <c r="B24" s="20">
        <v>-0.05</v>
      </c>
      <c r="C24" s="88">
        <f>+$C$22*(1+B24)</f>
        <v>1322855.8122486356</v>
      </c>
      <c r="D24" s="55">
        <v>7</v>
      </c>
      <c r="E24" s="21">
        <f t="shared" si="0"/>
        <v>-69623.9901183492</v>
      </c>
    </row>
    <row r="25" spans="1:5" ht="12.75">
      <c r="A25" s="19" t="s">
        <v>29</v>
      </c>
      <c r="B25" s="20">
        <v>-0.07</v>
      </c>
      <c r="C25" s="88">
        <f>+$C$22*(1+B25)</f>
        <v>1295006.2162012958</v>
      </c>
      <c r="D25" s="55">
        <v>6</v>
      </c>
      <c r="E25" s="21">
        <f t="shared" si="0"/>
        <v>-97473.58616568893</v>
      </c>
    </row>
    <row r="26" spans="1:5" ht="12.75">
      <c r="A26" s="19" t="s">
        <v>30</v>
      </c>
      <c r="B26" s="20">
        <v>-0.1</v>
      </c>
      <c r="C26" s="88">
        <f>+$C$22*(1+B26)</f>
        <v>1253231.8221302864</v>
      </c>
      <c r="D26" s="55">
        <v>5</v>
      </c>
      <c r="E26" s="21">
        <f t="shared" si="0"/>
        <v>-139247.9802366984</v>
      </c>
    </row>
    <row r="27" spans="1:5" ht="13.5" thickBot="1">
      <c r="A27" s="19" t="s">
        <v>31</v>
      </c>
      <c r="B27" s="23">
        <v>-0.101</v>
      </c>
      <c r="C27" s="90">
        <f>+$C$22*(1+B27)</f>
        <v>1251839.3423279193</v>
      </c>
      <c r="D27" s="56">
        <v>4</v>
      </c>
      <c r="E27" s="24">
        <f t="shared" si="0"/>
        <v>-140640.46003906545</v>
      </c>
    </row>
    <row r="28" spans="2:5" ht="12.75">
      <c r="B28" s="25"/>
      <c r="C28" s="26"/>
      <c r="D28" s="27"/>
      <c r="E28" s="27"/>
    </row>
    <row r="29" spans="2:3" ht="12.75">
      <c r="B29" s="28"/>
      <c r="C29" s="29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B5">
      <selection activeCell="H15" sqref="H15"/>
    </sheetView>
  </sheetViews>
  <sheetFormatPr defaultColWidth="11.421875" defaultRowHeight="12.75"/>
  <cols>
    <col min="1" max="1" width="15.7109375" style="10" hidden="1" customWidth="1"/>
    <col min="2" max="2" width="34.8515625" style="0" customWidth="1"/>
    <col min="3" max="3" width="34.57421875" style="0" bestFit="1" customWidth="1"/>
    <col min="4" max="4" width="16.140625" style="0" customWidth="1"/>
    <col min="5" max="5" width="14.8515625" style="0" bestFit="1" customWidth="1"/>
    <col min="6" max="6" width="14.8515625" style="43" bestFit="1" customWidth="1"/>
    <col min="7" max="7" width="15.140625" style="43" customWidth="1"/>
    <col min="9" max="9" width="12.28125" style="0" bestFit="1" customWidth="1"/>
  </cols>
  <sheetData>
    <row r="2" spans="2:7" s="4" customFormat="1" ht="12.75">
      <c r="B2" s="96" t="s">
        <v>33</v>
      </c>
      <c r="C2" s="96"/>
      <c r="D2" s="96"/>
      <c r="E2" s="96"/>
      <c r="F2" s="49"/>
      <c r="G2" s="49"/>
    </row>
    <row r="3" spans="2:7" s="4" customFormat="1" ht="26.25" customHeight="1">
      <c r="B3" s="97" t="str">
        <f>+EFIN!$A$4</f>
        <v>INVITACION DIRECTA No.016 DE 2008</v>
      </c>
      <c r="C3" s="97"/>
      <c r="D3" s="97"/>
      <c r="E3" s="97"/>
      <c r="F3" s="49"/>
      <c r="G3" s="49"/>
    </row>
    <row r="4" spans="2:7" s="4" customFormat="1" ht="109.5" customHeight="1">
      <c r="B4" s="100" t="str">
        <f>+EFIN!$A$5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4" s="100"/>
      <c r="D4" s="100"/>
      <c r="E4" s="100"/>
      <c r="F4" s="49"/>
      <c r="G4" s="49"/>
    </row>
    <row r="6" ht="13.5" thickBot="1"/>
    <row r="7" spans="2:5" ht="13.5" thickBot="1">
      <c r="B7" s="133" t="s">
        <v>48</v>
      </c>
      <c r="C7" s="134"/>
      <c r="D7" s="11"/>
      <c r="E7" s="11"/>
    </row>
    <row r="8" spans="2:4" ht="12.75">
      <c r="B8" s="76" t="s">
        <v>14</v>
      </c>
      <c r="C8" s="77" t="s">
        <v>15</v>
      </c>
      <c r="D8" s="13"/>
    </row>
    <row r="9" spans="2:5" ht="12.75">
      <c r="B9" s="78" t="str">
        <f>+EFIN!$C$6</f>
        <v>CMI</v>
      </c>
      <c r="C9" s="91">
        <v>2150000</v>
      </c>
      <c r="D9" s="14"/>
      <c r="E9" s="43"/>
    </row>
    <row r="10" spans="2:4" ht="25.5">
      <c r="B10" s="79" t="str">
        <f>+EFIN!$G$6</f>
        <v> UNION TEMPORAL  SPORTSAT-VIDEOBASE</v>
      </c>
      <c r="C10" s="91">
        <v>2120000</v>
      </c>
      <c r="D10" s="14"/>
    </row>
    <row r="11" spans="2:4" ht="13.5" thickBot="1">
      <c r="B11" s="15" t="s">
        <v>16</v>
      </c>
      <c r="C11" s="92">
        <f>GEOMEAN(C9:C10)</f>
        <v>2134947.306141301</v>
      </c>
      <c r="D11" s="11"/>
    </row>
    <row r="12" spans="2:4" ht="13.5" thickBot="1">
      <c r="B12" s="15" t="s">
        <v>61</v>
      </c>
      <c r="C12" s="41">
        <v>8</v>
      </c>
      <c r="D12" s="11"/>
    </row>
    <row r="13" spans="2:4" ht="26.25" thickBot="1">
      <c r="B13" s="40" t="s">
        <v>62</v>
      </c>
      <c r="C13" s="41">
        <v>8</v>
      </c>
      <c r="D13" s="11"/>
    </row>
    <row r="14" spans="2:4" ht="13.5" thickBot="1">
      <c r="B14" s="15" t="s">
        <v>17</v>
      </c>
      <c r="C14" s="42">
        <v>8</v>
      </c>
      <c r="D14" s="11"/>
    </row>
    <row r="15" spans="3:4" ht="13.5" thickBot="1">
      <c r="C15" s="11"/>
      <c r="D15" s="11"/>
    </row>
    <row r="16" spans="2:5" ht="12.75">
      <c r="B16" s="16" t="s">
        <v>18</v>
      </c>
      <c r="C16" s="17" t="s">
        <v>19</v>
      </c>
      <c r="D16" s="17" t="s">
        <v>20</v>
      </c>
      <c r="E16" s="18"/>
    </row>
    <row r="17" spans="1:5" ht="12.75">
      <c r="A17" s="19" t="s">
        <v>21</v>
      </c>
      <c r="B17" s="20">
        <v>0.101</v>
      </c>
      <c r="C17" s="88">
        <f>+$C$22*(1+B17)</f>
        <v>2350576.9840615722</v>
      </c>
      <c r="D17" s="55">
        <v>4</v>
      </c>
      <c r="E17" s="21">
        <f aca="true" t="shared" si="0" ref="E17:E27">+C17-$C$22</f>
        <v>215629.67792027118</v>
      </c>
    </row>
    <row r="18" spans="1:5" ht="12.75">
      <c r="A18" s="19" t="s">
        <v>22</v>
      </c>
      <c r="B18" s="20">
        <v>0.1</v>
      </c>
      <c r="C18" s="88">
        <f>+$C$22*(1+B18)</f>
        <v>2348442.0367554314</v>
      </c>
      <c r="D18" s="55">
        <v>5</v>
      </c>
      <c r="E18" s="21">
        <f t="shared" si="0"/>
        <v>213494.73061413039</v>
      </c>
    </row>
    <row r="19" spans="1:5" ht="12.75">
      <c r="A19" s="19" t="s">
        <v>23</v>
      </c>
      <c r="B19" s="20">
        <v>0.07</v>
      </c>
      <c r="C19" s="88">
        <f>+$C$22*(1+B19)</f>
        <v>2284393.6175711923</v>
      </c>
      <c r="D19" s="55">
        <v>6</v>
      </c>
      <c r="E19" s="21">
        <f t="shared" si="0"/>
        <v>149446.31142989127</v>
      </c>
    </row>
    <row r="20" spans="1:5" ht="12.75">
      <c r="A20" s="19" t="s">
        <v>24</v>
      </c>
      <c r="B20" s="20">
        <v>0.05</v>
      </c>
      <c r="C20" s="88">
        <f>+$C$22*(1+B20)</f>
        <v>2241694.6714483663</v>
      </c>
      <c r="D20" s="55">
        <v>7</v>
      </c>
      <c r="E20" s="21">
        <f t="shared" si="0"/>
        <v>106747.36530706519</v>
      </c>
    </row>
    <row r="21" spans="1:5" ht="12.75">
      <c r="A21" s="19" t="s">
        <v>25</v>
      </c>
      <c r="B21" s="20">
        <v>0.03</v>
      </c>
      <c r="C21" s="62">
        <f>+$C$22*(1+B21)</f>
        <v>2198995.72532554</v>
      </c>
      <c r="D21" s="61">
        <v>8</v>
      </c>
      <c r="E21" s="21">
        <f t="shared" si="0"/>
        <v>64048.419184239116</v>
      </c>
    </row>
    <row r="22" spans="2:5" ht="12.75">
      <c r="B22" s="22" t="s">
        <v>26</v>
      </c>
      <c r="C22" s="89">
        <f>+C11</f>
        <v>2134947.306141301</v>
      </c>
      <c r="D22" s="62">
        <v>8</v>
      </c>
      <c r="E22" s="21">
        <f t="shared" si="0"/>
        <v>0</v>
      </c>
    </row>
    <row r="23" spans="1:5" ht="12.75">
      <c r="A23" s="19" t="s">
        <v>27</v>
      </c>
      <c r="B23" s="20">
        <v>-0.03</v>
      </c>
      <c r="C23" s="62">
        <f>+$C$22*(1+B23)</f>
        <v>2070898.886957062</v>
      </c>
      <c r="D23" s="61">
        <v>8</v>
      </c>
      <c r="E23" s="21">
        <f t="shared" si="0"/>
        <v>-64048.419184239116</v>
      </c>
    </row>
    <row r="24" spans="1:5" ht="12.75">
      <c r="A24" s="19" t="s">
        <v>28</v>
      </c>
      <c r="B24" s="20">
        <v>-0.05</v>
      </c>
      <c r="C24" s="88">
        <f>+$C$22*(1+B24)</f>
        <v>2028199.9408342359</v>
      </c>
      <c r="D24" s="55">
        <v>7</v>
      </c>
      <c r="E24" s="21">
        <f t="shared" si="0"/>
        <v>-106747.36530706519</v>
      </c>
    </row>
    <row r="25" spans="1:5" ht="12.75">
      <c r="A25" s="19" t="s">
        <v>29</v>
      </c>
      <c r="B25" s="20">
        <v>-0.07</v>
      </c>
      <c r="C25" s="88">
        <f>+$C$22*(1+B25)</f>
        <v>1985500.9947114098</v>
      </c>
      <c r="D25" s="55">
        <v>6</v>
      </c>
      <c r="E25" s="21">
        <f t="shared" si="0"/>
        <v>-149446.31142989127</v>
      </c>
    </row>
    <row r="26" spans="1:5" ht="12.75">
      <c r="A26" s="19" t="s">
        <v>30</v>
      </c>
      <c r="B26" s="20">
        <v>-0.1</v>
      </c>
      <c r="C26" s="88">
        <f>+$C$22*(1+B26)</f>
        <v>1921452.575527171</v>
      </c>
      <c r="D26" s="55">
        <v>5</v>
      </c>
      <c r="E26" s="21">
        <f t="shared" si="0"/>
        <v>-213494.73061413015</v>
      </c>
    </row>
    <row r="27" spans="1:5" ht="13.5" thickBot="1">
      <c r="A27" s="19" t="s">
        <v>31</v>
      </c>
      <c r="B27" s="23">
        <v>-0.101</v>
      </c>
      <c r="C27" s="90">
        <f>+$C$22*(1+B27)</f>
        <v>1919317.6282210296</v>
      </c>
      <c r="D27" s="56">
        <v>4</v>
      </c>
      <c r="E27" s="24">
        <f t="shared" si="0"/>
        <v>-215629.6779202714</v>
      </c>
    </row>
    <row r="28" spans="2:5" ht="12.75">
      <c r="B28" s="25"/>
      <c r="C28" s="26"/>
      <c r="D28" s="27"/>
      <c r="E28" s="27"/>
    </row>
    <row r="29" spans="2:3" ht="12.75">
      <c r="B29" s="28"/>
      <c r="C29" s="75"/>
    </row>
  </sheetData>
  <sheetProtection/>
  <mergeCells count="4">
    <mergeCell ref="B2:E2"/>
    <mergeCell ref="B3:E3"/>
    <mergeCell ref="B4:E4"/>
    <mergeCell ref="B7:C7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Q19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2" max="2" width="15.421875" style="0" customWidth="1"/>
    <col min="4" max="4" width="20.421875" style="0" customWidth="1"/>
    <col min="5" max="8" width="20.8515625" style="30" customWidth="1"/>
    <col min="9" max="9" width="14.00390625" style="30" bestFit="1" customWidth="1"/>
    <col min="10" max="10" width="14.00390625" style="30" customWidth="1"/>
    <col min="11" max="16" width="11.421875" style="32" customWidth="1"/>
    <col min="17" max="17" width="11.421875" style="10" customWidth="1"/>
  </cols>
  <sheetData>
    <row r="3" spans="2:17" s="4" customFormat="1" ht="12.75">
      <c r="B3" s="96" t="s">
        <v>33</v>
      </c>
      <c r="C3" s="96"/>
      <c r="D3" s="96"/>
      <c r="E3" s="96"/>
      <c r="F3" s="96"/>
      <c r="G3" s="96"/>
      <c r="H3" s="96"/>
      <c r="I3" s="96"/>
      <c r="J3" s="96"/>
      <c r="K3" s="96"/>
      <c r="L3" s="31"/>
      <c r="M3" s="31"/>
      <c r="N3" s="31"/>
      <c r="O3" s="31"/>
      <c r="P3" s="31"/>
      <c r="Q3" s="31"/>
    </row>
    <row r="4" spans="2:17" s="4" customFormat="1" ht="26.25" customHeight="1">
      <c r="B4" s="97" t="str">
        <f>+'MASTER CONTROL PARA ESTUDIO'!B3</f>
        <v>INVITACION DIRECTA No.016 DE 2008</v>
      </c>
      <c r="C4" s="97"/>
      <c r="D4" s="97"/>
      <c r="E4" s="97"/>
      <c r="F4" s="97"/>
      <c r="G4" s="97"/>
      <c r="H4" s="97"/>
      <c r="I4" s="97"/>
      <c r="J4" s="97"/>
      <c r="K4" s="97"/>
      <c r="L4" s="31"/>
      <c r="M4" s="31"/>
      <c r="N4" s="31"/>
      <c r="O4" s="31"/>
      <c r="P4" s="31"/>
      <c r="Q4" s="31"/>
    </row>
    <row r="5" spans="2:17" s="4" customFormat="1" ht="76.5" customHeight="1">
      <c r="B5" s="139" t="str">
        <f>+'MASTER CONTROL PARA ESTUDIO'!B4</f>
        <v>CONVOCATORIA DE ADMINISTRACIÓN  DELEGADA PARA LA ADMINISTRACIÓN DE RECURSOS TÉCNICOS, LOGÍSTICOS Y HUMANOS PARA EL DISEÑO, PRODUCCIÓN  Y TRANSMISIÓN DEL SIGUIENTE CONJUNTO DE PROYECTOS: EVENTOS DEPORTIVOS Y CULTURALES 2008-2009, MAGAZÍN DEPORTIVO  Y SERIE DE CLIPS DEPORTIVOS BAJO LA SUPERVISIÓN DE RTVC, EN  LA MODALIDAD DE ADMINISTRACIÓN DELEGADA
</v>
      </c>
      <c r="C5" s="139"/>
      <c r="D5" s="139"/>
      <c r="E5" s="139"/>
      <c r="F5" s="139"/>
      <c r="G5" s="139"/>
      <c r="H5" s="139"/>
      <c r="I5" s="139"/>
      <c r="J5" s="139"/>
      <c r="K5" s="139"/>
      <c r="L5" s="31"/>
      <c r="M5" s="31"/>
      <c r="N5" s="31"/>
      <c r="O5" s="31"/>
      <c r="P5" s="31"/>
      <c r="Q5" s="31"/>
    </row>
    <row r="7" ht="13.5" thickBot="1"/>
    <row r="8" spans="2:11" ht="67.5" customHeight="1" thickBot="1">
      <c r="B8" s="140" t="s">
        <v>34</v>
      </c>
      <c r="C8" s="141"/>
      <c r="D8" s="73" t="str">
        <f>+'UNIDAD MOVIL'!B7</f>
        <v>UNIDAD MOVIL</v>
      </c>
      <c r="E8" s="73" t="str">
        <f>+'EQUIPO DE GRABACION DE PORTATIL'!B7</f>
        <v>EQUIPO DE GRABACION PORTATIL</v>
      </c>
      <c r="F8" s="73" t="str">
        <f>+'SISTEMA DE EDICION PORTATIL'!B7</f>
        <v>SISTEMA DE EDICION PORTATIL</v>
      </c>
      <c r="G8" s="73" t="str">
        <f>+'EDICION NO LINEAL '!B7</f>
        <v>EDICION NO LINEAL</v>
      </c>
      <c r="H8" s="73" t="str">
        <f>+'ENLANCE SATELITAL'!B7</f>
        <v>ENLACE SATELITAL, SEGMENTO SATELITAL, SISTEMA DE TRANSMISION VIA MICROONDAS</v>
      </c>
      <c r="I8" s="73" t="str">
        <f>+ESTUDIO!B7</f>
        <v>ESTUDIO</v>
      </c>
      <c r="J8" s="73" t="str">
        <f>+'MASTER CONTROL PARA ESTUDIO'!B7</f>
        <v>MASTER  CONTROL PARA ESTUDIO</v>
      </c>
      <c r="K8" s="74" t="s">
        <v>35</v>
      </c>
    </row>
    <row r="9" spans="2:17" s="47" customFormat="1" ht="12.75">
      <c r="B9" s="144" t="s">
        <v>38</v>
      </c>
      <c r="C9" s="145"/>
      <c r="D9" s="71">
        <f>+'UNIDAD MOVIL'!C12</f>
        <v>32</v>
      </c>
      <c r="E9" s="71">
        <f>+'EQUIPO DE GRABACION DE PORTATIL'!C12</f>
        <v>8</v>
      </c>
      <c r="F9" s="71">
        <f>+'SISTEMA DE EDICION PORTATIL'!C12</f>
        <v>8</v>
      </c>
      <c r="G9" s="71">
        <f>+'EDICION NO LINEAL '!C12</f>
        <v>8</v>
      </c>
      <c r="H9" s="71">
        <f>+'ENLANCE SATELITAL'!C12</f>
        <v>6</v>
      </c>
      <c r="I9" s="71">
        <f>+ESTUDIO!C12</f>
        <v>8</v>
      </c>
      <c r="J9" s="71">
        <f>+'MASTER CONTROL PARA ESTUDIO'!C12</f>
        <v>8</v>
      </c>
      <c r="K9" s="72">
        <f>SUM(D9:J9)</f>
        <v>78</v>
      </c>
      <c r="L9" s="32"/>
      <c r="M9" s="32"/>
      <c r="N9" s="32"/>
      <c r="O9" s="32"/>
      <c r="P9" s="32"/>
      <c r="Q9" s="10"/>
    </row>
    <row r="10" spans="2:17" s="47" customFormat="1" ht="49.5" customHeight="1" thickBot="1">
      <c r="B10" s="148" t="s">
        <v>51</v>
      </c>
      <c r="C10" s="149"/>
      <c r="D10" s="85">
        <f>+'UNIDAD MOVIL'!C13</f>
        <v>32</v>
      </c>
      <c r="E10" s="48">
        <f>+'EQUIPO DE GRABACION DE PORTATIL'!C13</f>
        <v>8</v>
      </c>
      <c r="F10" s="48">
        <f>+'SISTEMA DE EDICION PORTATIL'!C13</f>
        <v>8</v>
      </c>
      <c r="G10" s="48">
        <f>+'EDICION NO LINEAL '!C13</f>
        <v>8</v>
      </c>
      <c r="H10" s="48">
        <f>+'ENLANCE SATELITAL'!C13</f>
        <v>8</v>
      </c>
      <c r="I10" s="48">
        <f>+ESTUDIO!C13</f>
        <v>8</v>
      </c>
      <c r="J10" s="48">
        <f>+'MASTER CONTROL PARA ESTUDIO'!C13</f>
        <v>8</v>
      </c>
      <c r="K10" s="53">
        <f>SUM(D10:J10)</f>
        <v>80</v>
      </c>
      <c r="L10" s="32"/>
      <c r="M10" s="32"/>
      <c r="N10" s="32"/>
      <c r="O10" s="32"/>
      <c r="P10" s="32"/>
      <c r="Q10" s="10"/>
    </row>
    <row r="11" spans="2:11" ht="34.5" customHeight="1">
      <c r="B11" s="44"/>
      <c r="C11" s="44"/>
      <c r="D11" s="45"/>
      <c r="E11" s="46"/>
      <c r="F11" s="46"/>
      <c r="G11" s="46"/>
      <c r="H11" s="46"/>
      <c r="I11" s="46"/>
      <c r="J11" s="46"/>
      <c r="K11" s="46"/>
    </row>
    <row r="12" spans="2:10" ht="38.25" customHeight="1">
      <c r="B12" s="10"/>
      <c r="C12" s="10"/>
      <c r="D12" s="33"/>
      <c r="E12" s="32"/>
      <c r="F12" s="32"/>
      <c r="G12" s="32"/>
      <c r="H12" s="32"/>
      <c r="I12" s="32"/>
      <c r="J12" s="32"/>
    </row>
    <row r="13" spans="2:10" ht="13.5" thickBot="1">
      <c r="B13" s="10"/>
      <c r="C13" s="10"/>
      <c r="D13" s="10"/>
      <c r="E13" s="32"/>
      <c r="F13" s="32"/>
      <c r="G13" s="32"/>
      <c r="H13" s="32"/>
      <c r="I13" s="32"/>
      <c r="J13" s="32"/>
    </row>
    <row r="14" spans="6:8" ht="33" customHeight="1">
      <c r="F14" s="142" t="s">
        <v>32</v>
      </c>
      <c r="G14" s="143"/>
      <c r="H14" s="50" t="s">
        <v>20</v>
      </c>
    </row>
    <row r="15" spans="6:8" ht="12.75">
      <c r="F15" s="146" t="str">
        <f>+B9</f>
        <v>CMI</v>
      </c>
      <c r="G15" s="147"/>
      <c r="H15" s="51">
        <f>20*0.08/0.08</f>
        <v>20</v>
      </c>
    </row>
    <row r="16" spans="6:8" ht="30.75" customHeight="1" thickBot="1">
      <c r="F16" s="137" t="str">
        <f>+B10</f>
        <v> UNION TEMPORAL  SPORTSAT-VIDEOBASE</v>
      </c>
      <c r="G16" s="138"/>
      <c r="H16" s="52">
        <f>20*0.08/0.08</f>
        <v>20</v>
      </c>
    </row>
    <row r="19" ht="12.75">
      <c r="B19" t="s">
        <v>64</v>
      </c>
    </row>
  </sheetData>
  <sheetProtection/>
  <mergeCells count="9">
    <mergeCell ref="F16:G16"/>
    <mergeCell ref="B5:K5"/>
    <mergeCell ref="B8:C8"/>
    <mergeCell ref="F14:G14"/>
    <mergeCell ref="B9:C9"/>
    <mergeCell ref="B3:K3"/>
    <mergeCell ref="B4:K4"/>
    <mergeCell ref="F15:G15"/>
    <mergeCell ref="B10:C10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rmalaver</cp:lastModifiedBy>
  <cp:lastPrinted>2008-09-03T14:50:53Z</cp:lastPrinted>
  <dcterms:created xsi:type="dcterms:W3CDTF">2006-05-03T14:08:50Z</dcterms:created>
  <dcterms:modified xsi:type="dcterms:W3CDTF">2008-09-05T14:14:42Z</dcterms:modified>
  <cp:category/>
  <cp:version/>
  <cp:contentType/>
  <cp:contentStatus/>
</cp:coreProperties>
</file>