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EFIN" sheetId="1" r:id="rId1"/>
    <sheet name="ECON" sheetId="2" r:id="rId2"/>
  </sheets>
  <definedNames>
    <definedName name="_xlnm.Print_Area" localSheetId="1">'ECON'!$B$3:$E$30</definedName>
    <definedName name="_xlnm.Print_Area" localSheetId="0">'EFIN'!$B$3:$J$27</definedName>
  </definedNames>
  <calcPr fullCalcOnLoad="1"/>
</workbook>
</file>

<file path=xl/sharedStrings.xml><?xml version="1.0" encoding="utf-8"?>
<sst xmlns="http://schemas.openxmlformats.org/spreadsheetml/2006/main" count="115" uniqueCount="57">
  <si>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</si>
  <si>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</si>
  <si>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</si>
  <si>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</si>
  <si>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</si>
  <si>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</si>
  <si>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</si>
  <si>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</si>
  <si>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</si>
  <si>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</si>
  <si>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</si>
  <si>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</si>
  <si>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</si>
  <si>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VALOR</t>
  </si>
  <si>
    <t>PUNTAJE</t>
  </si>
  <si>
    <t>EVALUACIÓN ECONOMICA</t>
  </si>
  <si>
    <t>&gt;20%</t>
  </si>
  <si>
    <t>&gt;10%</t>
  </si>
  <si>
    <t>&lt;70%</t>
  </si>
  <si>
    <t>&gt; 1</t>
  </si>
  <si>
    <t>EMPRESA</t>
  </si>
  <si>
    <t>Notas a los Estados Financieros según Artículo 36 Ley 222/95.</t>
  </si>
  <si>
    <t>Certificación de los Estados Financieros según Artículo 37 Ley 222/95.</t>
  </si>
  <si>
    <t>Declaración de Renta de los años 2007</t>
  </si>
  <si>
    <t>ITEM</t>
  </si>
  <si>
    <t>CANT</t>
  </si>
  <si>
    <t>Vr/Unitario</t>
  </si>
  <si>
    <t>Valor</t>
  </si>
  <si>
    <t>Iva</t>
  </si>
  <si>
    <t>Valor Total</t>
  </si>
  <si>
    <t>BALUM</t>
  </si>
  <si>
    <t>DAGA</t>
  </si>
  <si>
    <t>EIC</t>
  </si>
  <si>
    <t xml:space="preserve">TOTAL UNION TEMPORAL EIC-GLOBALTRONICS </t>
  </si>
  <si>
    <t>PRESUPUESTO OFICIAL</t>
  </si>
  <si>
    <t>VALOR MINIMO</t>
  </si>
  <si>
    <t>CURACAO DE COLOMBIA</t>
  </si>
  <si>
    <t>VIDEOELEC S.A</t>
  </si>
  <si>
    <t>UNION TEMPORAL INGTEL-EIC</t>
  </si>
  <si>
    <t>INVITACION DIRECTA 031 DE 2008</t>
  </si>
  <si>
    <t>GRUPO 1</t>
  </si>
  <si>
    <t>GRUPO 2</t>
  </si>
  <si>
    <t>GRUPO 3</t>
  </si>
  <si>
    <t xml:space="preserve">GRUPO 1 </t>
  </si>
  <si>
    <t xml:space="preserve">GRUPO 2 </t>
  </si>
  <si>
    <t>CURACAO</t>
  </si>
  <si>
    <t>VIDEOEELC</t>
  </si>
  <si>
    <t>INGTEL</t>
  </si>
  <si>
    <t>PROMEDIO</t>
  </si>
  <si>
    <t>CONTRATAR LA COMPRA DE EQUIPOS PARA LA GESTIÓN DE PROGRAMACIÓN – CANAL INSTITUCIONAL- ÉNFASIS REGISTRO AUDIOVISUAL PRESIDENCIA DE LA REPÚBLICA”.</t>
  </si>
  <si>
    <t>Estados Financieros comparativos 2006 - 2007, firmados por el Representante Legal, el Contador y Revisor Fiscal de la empresa si es el caso</t>
  </si>
  <si>
    <t>Copia de la tarjeta profesional, Certificados de vigencia y Antecedentes Disciplinarios del contador y/o del revisor fiscal, expedidos por la Junta Central de Contadores, con fecha no mayor a noventa (90) días calendario, anteriores a la fecha del presente proceso de contratación calendario, anteriores a la fecha del presente proceso de contratación.</t>
  </si>
  <si>
    <t>Dictamen del revisor fiscal, o a falta de éste, de un Contador Público independiente según Artículo 38 Ley 222/95.</t>
  </si>
  <si>
    <t>FALTA NOTAS ESTADOS FINANCIEROS</t>
  </si>
  <si>
    <t>FALTA DECLARACION DE RENTA 2007</t>
  </si>
  <si>
    <t>FALTA ANTECEDENTES DISCIPLINARIOS Y TARJETA PROFESIONAL DEL CONTADOR DE LA EMPRESA Y DEL CONTADOR INDEPENDIENTE</t>
  </si>
  <si>
    <t>Evaluó: Jefatura de Análisis Financiero y presupuesto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</si>
</sst>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  <numFmt numFmtId="198" formatCode="[$€-2]\ #,##0.00_);[Red]\([$€-2]\ #,##0.00\)"/>
  </numFmts>
  <fonts count="4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1" fillId="0" borderId="0" xfId="47" applyFont="1" applyAlignment="1">
      <alignment/>
    </xf>
    <xf numFmtId="177" fontId="1" fillId="0" borderId="10" xfId="0" applyNumberFormat="1" applyFont="1" applyBorder="1" applyAlignment="1">
      <alignment horizontal="center"/>
    </xf>
    <xf numFmtId="171" fontId="1" fillId="0" borderId="10" xfId="47" applyFont="1" applyBorder="1" applyAlignment="1">
      <alignment horizontal="center"/>
    </xf>
    <xf numFmtId="0" fontId="2" fillId="0" borderId="10" xfId="0" applyFont="1" applyBorder="1" applyAlignment="1">
      <alignment/>
    </xf>
    <xf numFmtId="9" fontId="1" fillId="0" borderId="10" xfId="53" applyFont="1" applyBorder="1" applyAlignment="1">
      <alignment horizontal="center"/>
    </xf>
    <xf numFmtId="0" fontId="1" fillId="0" borderId="10" xfId="0" applyFont="1" applyBorder="1" applyAlignment="1">
      <alignment/>
    </xf>
    <xf numFmtId="171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9" fontId="1" fillId="0" borderId="17" xfId="53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4" fontId="1" fillId="0" borderId="17" xfId="47" applyNumberFormat="1" applyFont="1" applyBorder="1" applyAlignment="1">
      <alignment horizontal="center"/>
    </xf>
    <xf numFmtId="184" fontId="1" fillId="0" borderId="13" xfId="47" applyNumberFormat="1" applyFont="1" applyBorder="1" applyAlignment="1">
      <alignment horizontal="center"/>
    </xf>
    <xf numFmtId="184" fontId="1" fillId="0" borderId="18" xfId="47" applyNumberFormat="1" applyFont="1" applyBorder="1" applyAlignment="1">
      <alignment horizontal="center"/>
    </xf>
    <xf numFmtId="184" fontId="1" fillId="0" borderId="0" xfId="47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1" fontId="2" fillId="0" borderId="10" xfId="47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84" fontId="1" fillId="33" borderId="19" xfId="47" applyNumberFormat="1" applyFont="1" applyFill="1" applyBorder="1" applyAlignment="1">
      <alignment/>
    </xf>
    <xf numFmtId="184" fontId="1" fillId="33" borderId="14" xfId="47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84" fontId="1" fillId="0" borderId="16" xfId="47" applyNumberFormat="1" applyFont="1" applyBorder="1" applyAlignment="1">
      <alignment/>
    </xf>
    <xf numFmtId="184" fontId="1" fillId="0" borderId="10" xfId="47" applyNumberFormat="1" applyFont="1" applyBorder="1" applyAlignment="1">
      <alignment/>
    </xf>
    <xf numFmtId="184" fontId="1" fillId="0" borderId="17" xfId="47" applyNumberFormat="1" applyFont="1" applyBorder="1" applyAlignment="1">
      <alignment/>
    </xf>
    <xf numFmtId="171" fontId="2" fillId="0" borderId="0" xfId="47" applyFont="1" applyFill="1" applyBorder="1" applyAlignment="1">
      <alignment horizontal="center" vertical="center" wrapText="1"/>
    </xf>
    <xf numFmtId="184" fontId="1" fillId="0" borderId="16" xfId="47" applyNumberFormat="1" applyFont="1" applyFill="1" applyBorder="1" applyAlignment="1">
      <alignment/>
    </xf>
    <xf numFmtId="184" fontId="1" fillId="0" borderId="10" xfId="47" applyNumberFormat="1" applyFont="1" applyFill="1" applyBorder="1" applyAlignment="1">
      <alignment/>
    </xf>
    <xf numFmtId="184" fontId="1" fillId="0" borderId="17" xfId="47" applyNumberFormat="1" applyFont="1" applyFill="1" applyBorder="1" applyAlignment="1">
      <alignment/>
    </xf>
    <xf numFmtId="184" fontId="2" fillId="0" borderId="20" xfId="47" applyNumberFormat="1" applyFont="1" applyBorder="1" applyAlignment="1">
      <alignment/>
    </xf>
    <xf numFmtId="184" fontId="2" fillId="0" borderId="13" xfId="47" applyNumberFormat="1" applyFont="1" applyBorder="1" applyAlignment="1">
      <alignment/>
    </xf>
    <xf numFmtId="184" fontId="2" fillId="0" borderId="18" xfId="47" applyNumberFormat="1" applyFont="1" applyBorder="1" applyAlignment="1">
      <alignment/>
    </xf>
    <xf numFmtId="171" fontId="2" fillId="0" borderId="0" xfId="47" applyFont="1" applyAlignment="1">
      <alignment wrapText="1"/>
    </xf>
    <xf numFmtId="0" fontId="2" fillId="0" borderId="0" xfId="0" applyFont="1" applyAlignment="1">
      <alignment/>
    </xf>
    <xf numFmtId="171" fontId="1" fillId="0" borderId="0" xfId="47" applyFont="1" applyFill="1" applyBorder="1" applyAlignment="1">
      <alignment horizontal="center" vertical="center" wrapText="1"/>
    </xf>
    <xf numFmtId="171" fontId="1" fillId="34" borderId="0" xfId="47" applyFont="1" applyFill="1" applyAlignment="1">
      <alignment/>
    </xf>
    <xf numFmtId="171" fontId="1" fillId="35" borderId="0" xfId="47" applyFont="1" applyFill="1" applyAlignment="1">
      <alignment/>
    </xf>
    <xf numFmtId="171" fontId="2" fillId="33" borderId="11" xfId="4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1" fontId="2" fillId="0" borderId="14" xfId="47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71" fontId="2" fillId="0" borderId="13" xfId="47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1" fontId="1" fillId="0" borderId="0" xfId="47" applyFont="1" applyFill="1" applyBorder="1" applyAlignment="1">
      <alignment/>
    </xf>
    <xf numFmtId="171" fontId="2" fillId="0" borderId="0" xfId="47" applyFont="1" applyAlignment="1">
      <alignment/>
    </xf>
    <xf numFmtId="171" fontId="2" fillId="0" borderId="0" xfId="47" applyFont="1" applyAlignment="1">
      <alignment horizontal="center"/>
    </xf>
    <xf numFmtId="171" fontId="2" fillId="0" borderId="0" xfId="47" applyFont="1" applyBorder="1" applyAlignment="1">
      <alignment horizontal="center"/>
    </xf>
    <xf numFmtId="171" fontId="2" fillId="0" borderId="0" xfId="47" applyFont="1" applyBorder="1" applyAlignment="1">
      <alignment horizontal="center" vertical="top" wrapText="1"/>
    </xf>
    <xf numFmtId="171" fontId="2" fillId="0" borderId="0" xfId="47" applyFont="1" applyFill="1" applyBorder="1" applyAlignment="1">
      <alignment horizontal="center"/>
    </xf>
    <xf numFmtId="171" fontId="1" fillId="0" borderId="0" xfId="47" applyFont="1" applyFill="1" applyAlignment="1">
      <alignment/>
    </xf>
    <xf numFmtId="171" fontId="4" fillId="0" borderId="0" xfId="47" applyFont="1" applyFill="1" applyBorder="1" applyAlignment="1">
      <alignment horizontal="center" wrapText="1"/>
    </xf>
    <xf numFmtId="178" fontId="1" fillId="0" borderId="10" xfId="47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justify" wrapText="1"/>
    </xf>
    <xf numFmtId="0" fontId="4" fillId="0" borderId="28" xfId="0" applyFont="1" applyFill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justify" wrapText="1"/>
    </xf>
    <xf numFmtId="0" fontId="4" fillId="0" borderId="30" xfId="0" applyFont="1" applyFill="1" applyBorder="1" applyAlignment="1">
      <alignment horizontal="center" vertical="justify" wrapText="1"/>
    </xf>
    <xf numFmtId="0" fontId="4" fillId="0" borderId="31" xfId="0" applyFont="1" applyFill="1" applyBorder="1" applyAlignment="1">
      <alignment horizontal="center" vertical="justify" wrapText="1"/>
    </xf>
    <xf numFmtId="0" fontId="4" fillId="0" borderId="32" xfId="0" applyFont="1" applyFill="1" applyBorder="1" applyAlignment="1">
      <alignment horizontal="center" vertical="justify" wrapText="1"/>
    </xf>
    <xf numFmtId="0" fontId="2" fillId="0" borderId="2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6">
      <selection activeCell="B39" sqref="B39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3" width="23.7109375" style="1" customWidth="1"/>
    <col min="4" max="5" width="15.57421875" style="1" bestFit="1" customWidth="1"/>
    <col min="6" max="6" width="15.7109375" style="1" customWidth="1"/>
    <col min="7" max="8" width="14.140625" style="1" bestFit="1" customWidth="1"/>
    <col min="9" max="9" width="14.140625" style="1" customWidth="1"/>
    <col min="10" max="10" width="16.140625" style="1" customWidth="1"/>
    <col min="11" max="14" width="9.57421875" style="1" customWidth="1"/>
    <col min="15" max="15" width="14.7109375" style="1" customWidth="1"/>
    <col min="16" max="16384" width="11.421875" style="1" customWidth="1"/>
  </cols>
  <sheetData>
    <row r="2" ht="12.75" customHeight="1"/>
    <row r="3" spans="2:10" ht="15.75">
      <c r="B3" s="78" t="s">
        <v>0</v>
      </c>
      <c r="C3" s="78"/>
      <c r="D3" s="78"/>
      <c r="E3" s="78"/>
      <c r="F3" s="78"/>
      <c r="G3" s="78"/>
      <c r="H3" s="78"/>
      <c r="I3" s="78"/>
      <c r="J3" s="78"/>
    </row>
    <row r="4" spans="2:10" ht="13.5" customHeight="1">
      <c r="B4" s="79" t="s">
        <v>39</v>
      </c>
      <c r="C4" s="79"/>
      <c r="D4" s="79"/>
      <c r="E4" s="79"/>
      <c r="F4" s="79"/>
      <c r="G4" s="79"/>
      <c r="H4" s="79"/>
      <c r="I4" s="79"/>
      <c r="J4" s="79"/>
    </row>
    <row r="5" spans="2:12" ht="30" customHeight="1" thickBot="1">
      <c r="B5" s="84" t="s">
        <v>49</v>
      </c>
      <c r="C5" s="84"/>
      <c r="D5" s="84"/>
      <c r="E5" s="84"/>
      <c r="F5" s="84"/>
      <c r="G5" s="84"/>
      <c r="H5" s="84"/>
      <c r="I5" s="84"/>
      <c r="J5" s="84"/>
      <c r="L5" s="2"/>
    </row>
    <row r="6" spans="1:10" ht="13.5" customHeight="1">
      <c r="A6" s="3"/>
      <c r="B6" s="85" t="s">
        <v>1</v>
      </c>
      <c r="C6" s="86"/>
      <c r="D6" s="86" t="s">
        <v>31</v>
      </c>
      <c r="E6" s="86" t="s">
        <v>30</v>
      </c>
      <c r="F6" s="86" t="s">
        <v>36</v>
      </c>
      <c r="G6" s="86" t="s">
        <v>37</v>
      </c>
      <c r="H6" s="89" t="s">
        <v>38</v>
      </c>
      <c r="I6" s="90"/>
      <c r="J6" s="93"/>
    </row>
    <row r="7" spans="2:10" ht="13.5" thickBot="1">
      <c r="B7" s="87"/>
      <c r="C7" s="88"/>
      <c r="D7" s="88"/>
      <c r="E7" s="88"/>
      <c r="F7" s="88"/>
      <c r="G7" s="88"/>
      <c r="H7" s="17" t="s">
        <v>32</v>
      </c>
      <c r="I7" s="60" t="s">
        <v>47</v>
      </c>
      <c r="J7" s="93"/>
    </row>
    <row r="8" spans="2:10" ht="42" customHeight="1">
      <c r="B8" s="100" t="s">
        <v>50</v>
      </c>
      <c r="C8" s="101"/>
      <c r="D8" s="61" t="s">
        <v>2</v>
      </c>
      <c r="E8" s="61" t="s">
        <v>2</v>
      </c>
      <c r="F8" s="61" t="s">
        <v>2</v>
      </c>
      <c r="G8" s="61" t="s">
        <v>2</v>
      </c>
      <c r="H8" s="61" t="s">
        <v>2</v>
      </c>
      <c r="I8" s="62" t="s">
        <v>2</v>
      </c>
      <c r="J8" s="4"/>
    </row>
    <row r="9" spans="2:10" ht="30" customHeight="1">
      <c r="B9" s="80" t="s">
        <v>22</v>
      </c>
      <c r="C9" s="81"/>
      <c r="D9" s="63" t="s">
        <v>2</v>
      </c>
      <c r="E9" s="64" t="s">
        <v>2</v>
      </c>
      <c r="F9" s="63" t="s">
        <v>2</v>
      </c>
      <c r="G9" s="63" t="s">
        <v>2</v>
      </c>
      <c r="H9" s="63" t="s">
        <v>2</v>
      </c>
      <c r="I9" s="65" t="s">
        <v>2</v>
      </c>
      <c r="J9" s="4"/>
    </row>
    <row r="10" spans="2:10" ht="39.75" customHeight="1">
      <c r="B10" s="80" t="s">
        <v>52</v>
      </c>
      <c r="C10" s="81"/>
      <c r="D10" s="63" t="s">
        <v>2</v>
      </c>
      <c r="E10" s="63" t="s">
        <v>2</v>
      </c>
      <c r="F10" s="63" t="s">
        <v>2</v>
      </c>
      <c r="G10" s="63" t="s">
        <v>2</v>
      </c>
      <c r="H10" s="63" t="s">
        <v>2</v>
      </c>
      <c r="I10" s="65" t="s">
        <v>2</v>
      </c>
      <c r="J10" s="4"/>
    </row>
    <row r="11" spans="2:10" ht="38.25" customHeight="1">
      <c r="B11" s="80" t="s">
        <v>21</v>
      </c>
      <c r="C11" s="81"/>
      <c r="D11" s="63" t="s">
        <v>2</v>
      </c>
      <c r="E11" s="63" t="s">
        <v>2</v>
      </c>
      <c r="F11" s="63" t="s">
        <v>2</v>
      </c>
      <c r="G11" s="63" t="s">
        <v>2</v>
      </c>
      <c r="H11" s="63" t="s">
        <v>2</v>
      </c>
      <c r="I11" s="65" t="s">
        <v>53</v>
      </c>
      <c r="J11" s="4"/>
    </row>
    <row r="12" spans="2:10" ht="123.75" customHeight="1">
      <c r="B12" s="80" t="s">
        <v>51</v>
      </c>
      <c r="C12" s="81"/>
      <c r="D12" s="63" t="s">
        <v>2</v>
      </c>
      <c r="E12" s="63" t="s">
        <v>2</v>
      </c>
      <c r="F12" s="63" t="s">
        <v>2</v>
      </c>
      <c r="G12" s="63" t="s">
        <v>2</v>
      </c>
      <c r="H12" s="63" t="s">
        <v>2</v>
      </c>
      <c r="I12" s="65" t="s">
        <v>55</v>
      </c>
      <c r="J12" s="4"/>
    </row>
    <row r="13" spans="2:10" ht="39.75" customHeight="1" thickBot="1">
      <c r="B13" s="82" t="s">
        <v>23</v>
      </c>
      <c r="C13" s="83"/>
      <c r="D13" s="66" t="s">
        <v>2</v>
      </c>
      <c r="E13" s="66" t="s">
        <v>2</v>
      </c>
      <c r="F13" s="66" t="s">
        <v>2</v>
      </c>
      <c r="G13" s="66" t="s">
        <v>2</v>
      </c>
      <c r="H13" s="66" t="s">
        <v>2</v>
      </c>
      <c r="I13" s="67" t="s">
        <v>54</v>
      </c>
      <c r="J13" s="4"/>
    </row>
    <row r="14" spans="2:10" ht="13.5" thickBot="1">
      <c r="B14" s="94" t="s">
        <v>3</v>
      </c>
      <c r="C14" s="95"/>
      <c r="D14" s="15" t="s">
        <v>8</v>
      </c>
      <c r="E14" s="15" t="s">
        <v>8</v>
      </c>
      <c r="F14" s="15" t="s">
        <v>8</v>
      </c>
      <c r="G14" s="15" t="s">
        <v>8</v>
      </c>
      <c r="H14" s="15" t="s">
        <v>8</v>
      </c>
      <c r="I14" s="16"/>
      <c r="J14" s="5"/>
    </row>
    <row r="15" spans="2:10" ht="12.75">
      <c r="B15" s="6"/>
      <c r="C15" s="6"/>
      <c r="D15" s="6"/>
      <c r="E15" s="6"/>
      <c r="F15" s="6"/>
      <c r="G15" s="6"/>
      <c r="H15" s="6"/>
      <c r="I15" s="6"/>
      <c r="J15" s="6"/>
    </row>
    <row r="16" spans="2:10" ht="13.5" thickBot="1">
      <c r="B16" s="2"/>
      <c r="C16" s="2"/>
      <c r="D16" s="2"/>
      <c r="E16" s="2"/>
      <c r="F16" s="2"/>
      <c r="G16" s="2"/>
      <c r="H16" s="2"/>
      <c r="I16" s="2"/>
      <c r="J16" s="2"/>
    </row>
    <row r="17" spans="2:10" ht="24.75" customHeight="1">
      <c r="B17" s="96"/>
      <c r="C17" s="97"/>
      <c r="D17" s="86" t="str">
        <f>+D6</f>
        <v>DAGA</v>
      </c>
      <c r="E17" s="86" t="str">
        <f>+E6</f>
        <v>BALUM</v>
      </c>
      <c r="F17" s="86" t="str">
        <f>+F6</f>
        <v>CURACAO DE COLOMBIA</v>
      </c>
      <c r="G17" s="86" t="str">
        <f>+G6</f>
        <v>VIDEOELEC S.A</v>
      </c>
      <c r="H17" s="86" t="str">
        <f>+H6</f>
        <v>UNION TEMPORAL INGTEL-EIC</v>
      </c>
      <c r="I17" s="86"/>
      <c r="J17" s="91" t="s">
        <v>33</v>
      </c>
    </row>
    <row r="18" spans="2:15" ht="28.5" customHeight="1" thickBot="1">
      <c r="B18" s="98"/>
      <c r="C18" s="99"/>
      <c r="D18" s="88"/>
      <c r="E18" s="88"/>
      <c r="F18" s="88"/>
      <c r="G18" s="88"/>
      <c r="H18" s="17" t="str">
        <f>+H7</f>
        <v>EIC</v>
      </c>
      <c r="I18" s="17" t="str">
        <f>+I7</f>
        <v>INGTEL</v>
      </c>
      <c r="J18" s="92"/>
      <c r="O18" s="7"/>
    </row>
    <row r="19" spans="1:15" ht="14.25" customHeight="1">
      <c r="A19" s="1" t="s">
        <v>19</v>
      </c>
      <c r="B19" s="102" t="s">
        <v>4</v>
      </c>
      <c r="C19" s="103"/>
      <c r="D19" s="18"/>
      <c r="E19" s="18"/>
      <c r="F19" s="18"/>
      <c r="G19" s="18"/>
      <c r="H19" s="18"/>
      <c r="I19" s="18"/>
      <c r="J19" s="19"/>
      <c r="O19" s="7"/>
    </row>
    <row r="20" spans="2:15" ht="12.75">
      <c r="B20" s="104" t="s">
        <v>5</v>
      </c>
      <c r="C20" s="105"/>
      <c r="D20" s="8">
        <f>21385400/15794229</f>
        <v>1.3540008822209681</v>
      </c>
      <c r="E20" s="8">
        <f>6453563/4191312</f>
        <v>1.539747697141134</v>
      </c>
      <c r="F20" s="8">
        <f>7250540/3836624</f>
        <v>1.889822927657232</v>
      </c>
      <c r="G20" s="8">
        <f>(215119714.08+53572539+471272851.5+155502161.94)/167807014.93</f>
        <v>5.3362922097955225</v>
      </c>
      <c r="H20" s="8">
        <f>1337689449/854227314</f>
        <v>1.5659642662749134</v>
      </c>
      <c r="I20" s="76">
        <f>8000000</f>
        <v>8000000</v>
      </c>
      <c r="J20" s="77">
        <f>+(H20*0.08)+(I20*0.92)</f>
        <v>7360000.125277141</v>
      </c>
      <c r="O20" s="7"/>
    </row>
    <row r="21" spans="1:15" ht="12.75">
      <c r="A21" s="1" t="s">
        <v>18</v>
      </c>
      <c r="B21" s="20" t="s">
        <v>6</v>
      </c>
      <c r="C21" s="10"/>
      <c r="D21" s="10"/>
      <c r="E21" s="10"/>
      <c r="F21" s="10"/>
      <c r="G21" s="10"/>
      <c r="H21" s="10"/>
      <c r="I21" s="10"/>
      <c r="J21" s="21"/>
      <c r="O21" s="7"/>
    </row>
    <row r="22" spans="2:15" ht="12.75">
      <c r="B22" s="104" t="s">
        <v>7</v>
      </c>
      <c r="C22" s="105"/>
      <c r="D22" s="11">
        <f>28354729/47641090</f>
        <v>0.595173808995554</v>
      </c>
      <c r="E22" s="11">
        <f>4192588/6679136</f>
        <v>0.6277141235033993</v>
      </c>
      <c r="F22" s="11">
        <f>4410330/7392317</f>
        <v>0.59660996680743</v>
      </c>
      <c r="G22" s="11">
        <f>167807014.93/996386876.14</f>
        <v>0.16841552106756355</v>
      </c>
      <c r="H22" s="11">
        <f>854227314/1523832677</f>
        <v>0.5605781572303165</v>
      </c>
      <c r="I22" s="11">
        <v>0</v>
      </c>
      <c r="J22" s="22">
        <f>+(H22*0.08)+(I22*0.92)</f>
        <v>0.04484625257842532</v>
      </c>
      <c r="O22" s="7"/>
    </row>
    <row r="23" spans="1:15" ht="12.75">
      <c r="A23" s="1" t="s">
        <v>17</v>
      </c>
      <c r="B23" s="20" t="s">
        <v>9</v>
      </c>
      <c r="C23" s="12"/>
      <c r="D23" s="12"/>
      <c r="E23" s="12"/>
      <c r="F23" s="12"/>
      <c r="G23" s="12"/>
      <c r="H23" s="12"/>
      <c r="I23" s="12"/>
      <c r="J23" s="23"/>
      <c r="O23" s="7"/>
    </row>
    <row r="24" spans="2:15" ht="12.75">
      <c r="B24" s="104" t="s">
        <v>12</v>
      </c>
      <c r="C24" s="105"/>
      <c r="D24" s="9">
        <f>21385400000-15794229000</f>
        <v>5591171000</v>
      </c>
      <c r="E24" s="9">
        <f>6453563000-4191312000</f>
        <v>2262251000</v>
      </c>
      <c r="F24" s="9">
        <f>7250540000-3836624000</f>
        <v>3413916000</v>
      </c>
      <c r="G24" s="9">
        <f>895467266.94-167807014.93</f>
        <v>727660252.01</v>
      </c>
      <c r="H24" s="9">
        <f>1337689449-854227314</f>
        <v>483462135</v>
      </c>
      <c r="I24" s="9">
        <v>8000000</v>
      </c>
      <c r="J24" s="24">
        <f>+(H24*0.08)+(I24*0.92)</f>
        <v>46036970.800000004</v>
      </c>
      <c r="O24" s="7"/>
    </row>
    <row r="25" spans="1:15" ht="12.75">
      <c r="A25" s="1" t="s">
        <v>16</v>
      </c>
      <c r="B25" s="20" t="s">
        <v>10</v>
      </c>
      <c r="C25" s="12"/>
      <c r="D25" s="12"/>
      <c r="E25" s="12"/>
      <c r="F25" s="12"/>
      <c r="G25" s="12"/>
      <c r="H25" s="12"/>
      <c r="I25" s="12"/>
      <c r="J25" s="23"/>
      <c r="O25" s="7"/>
    </row>
    <row r="26" spans="2:15" ht="13.5" thickBot="1">
      <c r="B26" s="106" t="s">
        <v>11</v>
      </c>
      <c r="C26" s="107"/>
      <c r="D26" s="25">
        <v>19286360000</v>
      </c>
      <c r="E26" s="25">
        <v>2486548000</v>
      </c>
      <c r="F26" s="25">
        <v>2981987000</v>
      </c>
      <c r="G26" s="25">
        <v>828579861.21</v>
      </c>
      <c r="H26" s="25">
        <v>669605363</v>
      </c>
      <c r="I26" s="25">
        <v>15000000</v>
      </c>
      <c r="J26" s="26">
        <f>+(H26*0.08)+(I26*0.92)</f>
        <v>67368429.03999999</v>
      </c>
      <c r="O26" s="7"/>
    </row>
    <row r="27" spans="2:15" ht="13.5" thickBot="1">
      <c r="B27" s="94" t="s">
        <v>3</v>
      </c>
      <c r="C27" s="95"/>
      <c r="D27" s="15" t="s">
        <v>8</v>
      </c>
      <c r="E27" s="15" t="s">
        <v>8</v>
      </c>
      <c r="F27" s="15" t="s">
        <v>8</v>
      </c>
      <c r="G27" s="15" t="s">
        <v>8</v>
      </c>
      <c r="H27" s="108" t="s">
        <v>8</v>
      </c>
      <c r="I27" s="109"/>
      <c r="J27" s="16" t="s">
        <v>8</v>
      </c>
      <c r="O27" s="7"/>
    </row>
    <row r="29" ht="12.75" hidden="1">
      <c r="E29" s="13">
        <f>+ECON!D8</f>
        <v>92614400</v>
      </c>
    </row>
    <row r="30" spans="3:9" ht="12.75" hidden="1">
      <c r="C30" s="7"/>
      <c r="D30" s="7"/>
      <c r="E30" s="7">
        <f>+E29*0.1</f>
        <v>9261440</v>
      </c>
      <c r="F30" s="7"/>
      <c r="G30" s="7"/>
      <c r="H30" s="7"/>
      <c r="I30" s="7"/>
    </row>
    <row r="31" spans="3:9" ht="12.75" hidden="1">
      <c r="C31" s="7"/>
      <c r="D31" s="7"/>
      <c r="E31" s="7">
        <f>+E29*0.2</f>
        <v>18522880</v>
      </c>
      <c r="F31" s="7"/>
      <c r="G31" s="7"/>
      <c r="H31" s="7"/>
      <c r="I31" s="7"/>
    </row>
    <row r="32" ht="12.75" hidden="1"/>
    <row r="33" spans="3:9" ht="12.75">
      <c r="C33" s="7"/>
      <c r="D33" s="7"/>
      <c r="E33" s="7"/>
      <c r="F33" s="7"/>
      <c r="G33" s="7"/>
      <c r="H33" s="7"/>
      <c r="I33" s="7"/>
    </row>
    <row r="34" spans="3:9" ht="12.75">
      <c r="C34" s="7"/>
      <c r="D34" s="7"/>
      <c r="E34" s="7"/>
      <c r="F34" s="7"/>
      <c r="G34" s="7"/>
      <c r="H34" s="7">
        <v>353014400</v>
      </c>
      <c r="I34" s="7"/>
    </row>
    <row r="35" spans="3:9" ht="12.75">
      <c r="C35" s="7"/>
      <c r="D35" s="7"/>
      <c r="E35" s="7"/>
      <c r="F35" s="7"/>
      <c r="G35" s="7"/>
      <c r="H35" s="7">
        <f>+H34*0.1</f>
        <v>35301440</v>
      </c>
      <c r="I35" s="7"/>
    </row>
    <row r="36" spans="4:8" ht="12.75">
      <c r="D36" s="13"/>
      <c r="E36" s="13"/>
      <c r="F36" s="13"/>
      <c r="G36" s="7"/>
      <c r="H36" s="7">
        <f>+H34*0.2</f>
        <v>70602880</v>
      </c>
    </row>
    <row r="37" spans="3:9" ht="12.75">
      <c r="C37" s="7"/>
      <c r="D37" s="7"/>
      <c r="E37" s="7"/>
      <c r="F37" s="7"/>
      <c r="G37" s="7"/>
      <c r="H37" s="7"/>
      <c r="I37" s="7"/>
    </row>
    <row r="38" spans="3:9" ht="12.75">
      <c r="C38" s="7"/>
      <c r="D38" s="7"/>
      <c r="E38" s="7"/>
      <c r="F38" s="7"/>
      <c r="G38" s="69"/>
      <c r="H38" s="7"/>
      <c r="I38" s="7"/>
    </row>
    <row r="39" spans="2:9" ht="12.75">
      <c r="B39" s="1" t="s">
        <v>56</v>
      </c>
      <c r="C39" s="14"/>
      <c r="D39" s="14"/>
      <c r="E39" s="13"/>
      <c r="F39" s="14"/>
      <c r="G39" s="7"/>
      <c r="H39" s="14"/>
      <c r="I39" s="14"/>
    </row>
    <row r="40" ht="12.75">
      <c r="G40" s="7"/>
    </row>
    <row r="42" ht="12.75">
      <c r="G42" s="13"/>
    </row>
  </sheetData>
  <sheetProtection/>
  <mergeCells count="31">
    <mergeCell ref="H17:I17"/>
    <mergeCell ref="H27:I27"/>
    <mergeCell ref="D17:D18"/>
    <mergeCell ref="E17:E18"/>
    <mergeCell ref="F17:F18"/>
    <mergeCell ref="G17:G18"/>
    <mergeCell ref="B27:C27"/>
    <mergeCell ref="B19:C19"/>
    <mergeCell ref="B20:C20"/>
    <mergeCell ref="B22:C22"/>
    <mergeCell ref="B24:C24"/>
    <mergeCell ref="B26:C26"/>
    <mergeCell ref="J17:J18"/>
    <mergeCell ref="J6:J7"/>
    <mergeCell ref="B14:C14"/>
    <mergeCell ref="B17:C18"/>
    <mergeCell ref="B8:C8"/>
    <mergeCell ref="B9:C9"/>
    <mergeCell ref="D6:D7"/>
    <mergeCell ref="E6:E7"/>
    <mergeCell ref="F6:F7"/>
    <mergeCell ref="G6:G7"/>
    <mergeCell ref="B3:J3"/>
    <mergeCell ref="B4:J4"/>
    <mergeCell ref="B12:C12"/>
    <mergeCell ref="B13:C13"/>
    <mergeCell ref="B5:J5"/>
    <mergeCell ref="B11:C11"/>
    <mergeCell ref="B10:C10"/>
    <mergeCell ref="B6:C7"/>
    <mergeCell ref="H6:I6"/>
  </mergeCells>
  <printOptions horizontalCentered="1" verticalCentered="1"/>
  <pageMargins left="0.7874015748031497" right="0.7874015748031497" top="0.5905511811023623" bottom="0.3937007874015748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85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3" width="23.7109375" style="1" customWidth="1"/>
    <col min="4" max="4" width="23.00390625" style="1" customWidth="1"/>
    <col min="5" max="5" width="19.00390625" style="1" customWidth="1"/>
    <col min="6" max="6" width="19.00390625" style="7" customWidth="1"/>
    <col min="7" max="7" width="6.28125" style="27" hidden="1" customWidth="1"/>
    <col min="8" max="8" width="6.7109375" style="27" hidden="1" customWidth="1"/>
    <col min="9" max="9" width="14.140625" style="1" hidden="1" customWidth="1"/>
    <col min="10" max="11" width="16.8515625" style="1" hidden="1" customWidth="1"/>
    <col min="12" max="12" width="13.8515625" style="1" hidden="1" customWidth="1"/>
    <col min="13" max="13" width="12.140625" style="1" hidden="1" customWidth="1"/>
    <col min="14" max="16" width="0" style="1" hidden="1" customWidth="1"/>
    <col min="17" max="17" width="14.140625" style="1" bestFit="1" customWidth="1"/>
    <col min="18" max="18" width="18.00390625" style="1" customWidth="1"/>
    <col min="19" max="19" width="14.8515625" style="7" bestFit="1" customWidth="1"/>
    <col min="20" max="20" width="15.140625" style="7" customWidth="1"/>
    <col min="21" max="21" width="15.28125" style="7" customWidth="1"/>
    <col min="22" max="16384" width="11.421875" style="1" customWidth="1"/>
  </cols>
  <sheetData>
    <row r="2" ht="12.75" customHeight="1"/>
    <row r="3" spans="2:6" ht="15.75">
      <c r="B3" s="78" t="s">
        <v>15</v>
      </c>
      <c r="C3" s="78"/>
      <c r="D3" s="78"/>
      <c r="E3" s="78"/>
      <c r="F3" s="70"/>
    </row>
    <row r="4" spans="2:6" ht="15.75">
      <c r="B4" s="79" t="str">
        <f>+EFIN!B4</f>
        <v>INVITACION DIRECTA 031 DE 2008</v>
      </c>
      <c r="C4" s="79"/>
      <c r="D4" s="79"/>
      <c r="E4" s="79"/>
      <c r="F4" s="71"/>
    </row>
    <row r="5" spans="2:17" ht="56.25" customHeight="1" thickBot="1">
      <c r="B5" s="114" t="str">
        <f>+EFIN!B5</f>
        <v>CONTRATAR LA COMPRA DE EQUIPOS PARA LA GESTIÓN DE PROGRAMACIÓN – CANAL INSTITUCIONAL- ÉNFASIS REGISTRO AUDIOVISUAL PRESIDENCIA DE LA REPÚBLICA”.</v>
      </c>
      <c r="C5" s="114"/>
      <c r="D5" s="114"/>
      <c r="E5" s="114"/>
      <c r="F5" s="72"/>
      <c r="Q5" s="7">
        <v>113014400</v>
      </c>
    </row>
    <row r="6" spans="2:6" ht="13.5" thickBot="1">
      <c r="B6" s="119" t="s">
        <v>43</v>
      </c>
      <c r="C6" s="120"/>
      <c r="D6" s="120"/>
      <c r="E6" s="121"/>
      <c r="F6" s="72"/>
    </row>
    <row r="7" spans="1:6" ht="13.5" customHeight="1" thickBot="1">
      <c r="A7" s="3"/>
      <c r="B7" s="110" t="s">
        <v>20</v>
      </c>
      <c r="C7" s="111"/>
      <c r="D7" s="51" t="s">
        <v>13</v>
      </c>
      <c r="E7" s="52" t="s">
        <v>14</v>
      </c>
      <c r="F7" s="39"/>
    </row>
    <row r="8" spans="2:6" ht="12.75" customHeight="1">
      <c r="B8" s="117" t="s">
        <v>34</v>
      </c>
      <c r="C8" s="118"/>
      <c r="D8" s="53">
        <f>+D34</f>
        <v>92614400</v>
      </c>
      <c r="E8" s="54"/>
      <c r="F8" s="39"/>
    </row>
    <row r="9" spans="2:5" ht="12.75">
      <c r="B9" s="112" t="str">
        <f>+EFIN!D6</f>
        <v>DAGA</v>
      </c>
      <c r="C9" s="113"/>
      <c r="D9" s="29">
        <v>92492859.83999999</v>
      </c>
      <c r="E9" s="55">
        <f>90*$D$12/D9</f>
        <v>88.85813889436766</v>
      </c>
    </row>
    <row r="10" spans="2:6" ht="12.75" customHeight="1">
      <c r="B10" s="112" t="str">
        <f>+EFIN!F6</f>
        <v>CURACAO DE COLOMBIA</v>
      </c>
      <c r="C10" s="113"/>
      <c r="D10" s="29">
        <v>87970224</v>
      </c>
      <c r="E10" s="55">
        <v>100</v>
      </c>
      <c r="F10" s="39"/>
    </row>
    <row r="11" spans="2:6" ht="12.75" customHeight="1" thickBot="1">
      <c r="B11" s="115" t="str">
        <f>+EFIN!H6</f>
        <v>UNION TEMPORAL INGTEL-EIC</v>
      </c>
      <c r="C11" s="116"/>
      <c r="D11" s="56">
        <v>92200000</v>
      </c>
      <c r="E11" s="57">
        <f>90*$D$12/D11</f>
        <v>89.14038380043384</v>
      </c>
      <c r="F11" s="73"/>
    </row>
    <row r="12" spans="2:6" ht="13.5" thickBot="1">
      <c r="B12" s="110" t="s">
        <v>48</v>
      </c>
      <c r="C12" s="111"/>
      <c r="D12" s="51">
        <f>AVERAGE(D8:D11)</f>
        <v>91319370.96</v>
      </c>
      <c r="E12" s="52"/>
      <c r="F12" s="39"/>
    </row>
    <row r="13" spans="2:6" ht="12.75">
      <c r="B13" s="2"/>
      <c r="C13" s="2"/>
      <c r="D13" s="30"/>
      <c r="F13" s="74"/>
    </row>
    <row r="14" spans="2:6" ht="13.5" thickBot="1">
      <c r="B14" s="2"/>
      <c r="C14" s="2"/>
      <c r="D14" s="30"/>
      <c r="F14" s="74"/>
    </row>
    <row r="15" spans="2:12" ht="13.5" thickBot="1">
      <c r="B15" s="119" t="s">
        <v>44</v>
      </c>
      <c r="C15" s="120"/>
      <c r="D15" s="120"/>
      <c r="E15" s="121"/>
      <c r="F15" s="75"/>
      <c r="G15" s="32" t="s">
        <v>24</v>
      </c>
      <c r="H15" s="33" t="s">
        <v>25</v>
      </c>
      <c r="I15" s="34" t="s">
        <v>26</v>
      </c>
      <c r="J15" s="34" t="s">
        <v>27</v>
      </c>
      <c r="K15" s="34" t="s">
        <v>28</v>
      </c>
      <c r="L15" s="35" t="s">
        <v>29</v>
      </c>
    </row>
    <row r="16" spans="2:12" ht="14.25" customHeight="1" thickBot="1">
      <c r="B16" s="110" t="s">
        <v>20</v>
      </c>
      <c r="C16" s="111"/>
      <c r="D16" s="51" t="s">
        <v>13</v>
      </c>
      <c r="E16" s="52" t="s">
        <v>14</v>
      </c>
      <c r="F16" s="69"/>
      <c r="G16" s="36">
        <v>1</v>
      </c>
      <c r="H16" s="37">
        <v>1</v>
      </c>
      <c r="I16" s="37">
        <v>39145697</v>
      </c>
      <c r="J16" s="37">
        <f aca="true" t="shared" si="0" ref="J16:J24">+I16*H16</f>
        <v>39145697</v>
      </c>
      <c r="K16" s="37">
        <f aca="true" t="shared" si="1" ref="K16:K25">+J16*0.16</f>
        <v>6263311.5200000005</v>
      </c>
      <c r="L16" s="38">
        <f aca="true" t="shared" si="2" ref="L16:L25">SUM(J16:K16)</f>
        <v>45409008.52</v>
      </c>
    </row>
    <row r="17" spans="2:12" ht="12.75">
      <c r="B17" s="117" t="s">
        <v>34</v>
      </c>
      <c r="C17" s="118"/>
      <c r="D17" s="53">
        <f>+D35</f>
        <v>106000000</v>
      </c>
      <c r="E17" s="58"/>
      <c r="G17" s="36">
        <v>2</v>
      </c>
      <c r="H17" s="37">
        <v>1</v>
      </c>
      <c r="I17" s="37">
        <v>12565718</v>
      </c>
      <c r="J17" s="37">
        <f t="shared" si="0"/>
        <v>12565718</v>
      </c>
      <c r="K17" s="37">
        <f t="shared" si="1"/>
        <v>2010514.8800000001</v>
      </c>
      <c r="L17" s="38">
        <f t="shared" si="2"/>
        <v>14576232.88</v>
      </c>
    </row>
    <row r="18" spans="2:12" ht="12.75">
      <c r="B18" s="112" t="str">
        <f>+B9</f>
        <v>DAGA</v>
      </c>
      <c r="C18" s="113"/>
      <c r="D18" s="29">
        <v>105197437.36000001</v>
      </c>
      <c r="E18" s="55">
        <v>100</v>
      </c>
      <c r="F18" s="68"/>
      <c r="G18" s="36">
        <v>3</v>
      </c>
      <c r="H18" s="37">
        <v>1</v>
      </c>
      <c r="I18" s="37">
        <v>16053240</v>
      </c>
      <c r="J18" s="37">
        <f t="shared" si="0"/>
        <v>16053240</v>
      </c>
      <c r="K18" s="37">
        <f t="shared" si="1"/>
        <v>2568518.4</v>
      </c>
      <c r="L18" s="38">
        <f t="shared" si="2"/>
        <v>18621758.4</v>
      </c>
    </row>
    <row r="19" spans="2:12" ht="12.75">
      <c r="B19" s="112" t="str">
        <f>+EFIN!G6</f>
        <v>VIDEOELEC S.A</v>
      </c>
      <c r="C19" s="113"/>
      <c r="D19" s="29">
        <v>105410370</v>
      </c>
      <c r="E19" s="55">
        <f>80*D21/D19</f>
        <v>79.97463766800175</v>
      </c>
      <c r="F19" s="68"/>
      <c r="G19" s="36">
        <v>4</v>
      </c>
      <c r="H19" s="37">
        <v>3</v>
      </c>
      <c r="I19" s="37">
        <v>776640</v>
      </c>
      <c r="J19" s="37">
        <f t="shared" si="0"/>
        <v>2329920</v>
      </c>
      <c r="K19" s="37">
        <f t="shared" si="1"/>
        <v>372787.2</v>
      </c>
      <c r="L19" s="38">
        <f t="shared" si="2"/>
        <v>2702707.2</v>
      </c>
    </row>
    <row r="20" spans="2:12" ht="13.5" thickBot="1">
      <c r="B20" s="115" t="str">
        <f>+B11</f>
        <v>UNION TEMPORAL INGTEL-EIC</v>
      </c>
      <c r="C20" s="116"/>
      <c r="D20" s="56">
        <v>104900000</v>
      </c>
      <c r="E20" s="57">
        <f>90*D20/D21</f>
        <v>89.59264654319118</v>
      </c>
      <c r="G20" s="36">
        <v>7</v>
      </c>
      <c r="H20" s="37">
        <v>3</v>
      </c>
      <c r="I20" s="37">
        <v>6022628</v>
      </c>
      <c r="J20" s="37">
        <f t="shared" si="0"/>
        <v>18067884</v>
      </c>
      <c r="K20" s="37">
        <f t="shared" si="1"/>
        <v>2890861.44</v>
      </c>
      <c r="L20" s="38">
        <f t="shared" si="2"/>
        <v>20958745.44</v>
      </c>
    </row>
    <row r="21" spans="2:12" ht="13.5" thickBot="1">
      <c r="B21" s="110" t="s">
        <v>48</v>
      </c>
      <c r="C21" s="111"/>
      <c r="D21" s="51">
        <f>AVERAGE(D17:D20)</f>
        <v>105376951.84</v>
      </c>
      <c r="E21" s="52"/>
      <c r="G21" s="36">
        <v>8</v>
      </c>
      <c r="H21" s="37">
        <v>3</v>
      </c>
      <c r="I21" s="37">
        <v>58212</v>
      </c>
      <c r="J21" s="37">
        <f t="shared" si="0"/>
        <v>174636</v>
      </c>
      <c r="K21" s="37">
        <f t="shared" si="1"/>
        <v>27941.760000000002</v>
      </c>
      <c r="L21" s="38">
        <f t="shared" si="2"/>
        <v>202577.76</v>
      </c>
    </row>
    <row r="22" spans="2:12" s="31" customFormat="1" ht="12.75">
      <c r="B22" s="28"/>
      <c r="C22" s="28"/>
      <c r="D22" s="39"/>
      <c r="E22" s="28"/>
      <c r="F22" s="74"/>
      <c r="G22" s="40"/>
      <c r="H22" s="41"/>
      <c r="I22" s="41"/>
      <c r="J22" s="41"/>
      <c r="K22" s="41"/>
      <c r="L22" s="42"/>
    </row>
    <row r="23" spans="2:12" s="31" customFormat="1" ht="13.5" thickBot="1">
      <c r="B23" s="28"/>
      <c r="C23" s="28"/>
      <c r="D23" s="39"/>
      <c r="E23" s="28"/>
      <c r="F23" s="74"/>
      <c r="G23" s="40"/>
      <c r="H23" s="41"/>
      <c r="I23" s="41"/>
      <c r="J23" s="41"/>
      <c r="K23" s="41"/>
      <c r="L23" s="42"/>
    </row>
    <row r="24" spans="2:12" ht="13.5" thickBot="1">
      <c r="B24" s="119" t="s">
        <v>42</v>
      </c>
      <c r="C24" s="120"/>
      <c r="D24" s="120"/>
      <c r="E24" s="121"/>
      <c r="G24" s="36">
        <v>9</v>
      </c>
      <c r="H24" s="37">
        <v>2</v>
      </c>
      <c r="I24" s="37">
        <v>98000</v>
      </c>
      <c r="J24" s="37">
        <f t="shared" si="0"/>
        <v>196000</v>
      </c>
      <c r="K24" s="37">
        <f t="shared" si="1"/>
        <v>31360</v>
      </c>
      <c r="L24" s="38">
        <f t="shared" si="2"/>
        <v>227360</v>
      </c>
    </row>
    <row r="25" spans="2:12" ht="13.5" thickBot="1">
      <c r="B25" s="110" t="s">
        <v>20</v>
      </c>
      <c r="C25" s="111"/>
      <c r="D25" s="51" t="s">
        <v>13</v>
      </c>
      <c r="E25" s="52" t="s">
        <v>14</v>
      </c>
      <c r="G25" s="43"/>
      <c r="H25" s="44"/>
      <c r="I25" s="44">
        <f>SUM(I16:I24)</f>
        <v>74720135</v>
      </c>
      <c r="J25" s="44">
        <f>SUM(J16:J24)</f>
        <v>88533095</v>
      </c>
      <c r="K25" s="44">
        <f t="shared" si="1"/>
        <v>14165295.200000001</v>
      </c>
      <c r="L25" s="45">
        <f t="shared" si="2"/>
        <v>102698390.2</v>
      </c>
    </row>
    <row r="26" spans="2:5" ht="12.75">
      <c r="B26" s="117" t="s">
        <v>34</v>
      </c>
      <c r="C26" s="118"/>
      <c r="D26" s="53">
        <f>+D36</f>
        <v>154400000</v>
      </c>
      <c r="E26" s="58"/>
    </row>
    <row r="27" spans="2:5" ht="12.75">
      <c r="B27" s="112" t="str">
        <f>+B9</f>
        <v>DAGA</v>
      </c>
      <c r="C27" s="113"/>
      <c r="D27" s="29">
        <v>152581793.64</v>
      </c>
      <c r="E27" s="55">
        <f>80*D30/D27</f>
        <v>79.6518882290418</v>
      </c>
    </row>
    <row r="28" spans="2:5" ht="12.75">
      <c r="B28" s="112" t="str">
        <f>+EFIN!E6</f>
        <v>BALUM</v>
      </c>
      <c r="C28" s="113"/>
      <c r="D28" s="29">
        <v>146680000</v>
      </c>
      <c r="E28" s="59">
        <v>100</v>
      </c>
    </row>
    <row r="29" spans="2:5" ht="13.5" thickBot="1">
      <c r="B29" s="115" t="str">
        <f>+EFIN!G6</f>
        <v>VIDEOELEC S.A</v>
      </c>
      <c r="C29" s="116"/>
      <c r="D29" s="56">
        <v>154009605</v>
      </c>
      <c r="E29" s="57">
        <f>80*D30/D29</f>
        <v>78.91344161813804</v>
      </c>
    </row>
    <row r="30" spans="2:5" ht="13.5" thickBot="1">
      <c r="B30" s="110" t="s">
        <v>48</v>
      </c>
      <c r="C30" s="111"/>
      <c r="D30" s="51">
        <f>AVERAGE(D26:D29)</f>
        <v>151917849.66</v>
      </c>
      <c r="E30" s="52"/>
    </row>
    <row r="32" ht="12.75">
      <c r="B32" s="1" t="s">
        <v>56</v>
      </c>
    </row>
    <row r="33" spans="3:4" ht="12.75">
      <c r="C33" s="46" t="s">
        <v>35</v>
      </c>
      <c r="D33" s="39">
        <f>SUM(D34:D36)</f>
        <v>353014400</v>
      </c>
    </row>
    <row r="34" spans="3:4" ht="12.75">
      <c r="C34" s="47" t="s">
        <v>40</v>
      </c>
      <c r="D34" s="48">
        <v>92614400</v>
      </c>
    </row>
    <row r="35" spans="3:4" ht="12.75">
      <c r="C35" s="47" t="s">
        <v>41</v>
      </c>
      <c r="D35" s="48">
        <v>106000000</v>
      </c>
    </row>
    <row r="36" spans="3:4" ht="12.75">
      <c r="C36" s="47" t="s">
        <v>42</v>
      </c>
      <c r="D36" s="48">
        <v>154400000</v>
      </c>
    </row>
    <row r="38" ht="12.75">
      <c r="C38" s="1" t="s">
        <v>31</v>
      </c>
    </row>
    <row r="39" spans="2:5" ht="12.75">
      <c r="B39" s="1">
        <v>2</v>
      </c>
      <c r="C39" s="7">
        <f>7578246*$B$39</f>
        <v>15156492</v>
      </c>
      <c r="D39" s="7">
        <f>+C39*0.16</f>
        <v>2425038.72</v>
      </c>
      <c r="E39" s="7">
        <f>+D39+C39</f>
        <v>17581530.72</v>
      </c>
    </row>
    <row r="40" spans="2:5" ht="12.75">
      <c r="B40" s="1">
        <v>4</v>
      </c>
      <c r="C40" s="7">
        <f>+B40*12958158</f>
        <v>51832632</v>
      </c>
      <c r="D40" s="7">
        <f>+C40*0.16</f>
        <v>8293221.12</v>
      </c>
      <c r="E40" s="7">
        <f>+D40+C40</f>
        <v>60125853.12</v>
      </c>
    </row>
    <row r="41" spans="2:5" ht="12.75">
      <c r="B41" s="1">
        <v>12</v>
      </c>
      <c r="C41" s="7">
        <f>+B41*543222</f>
        <v>6518664</v>
      </c>
      <c r="D41" s="7">
        <f>+C41*0.16</f>
        <v>1042986.24</v>
      </c>
      <c r="E41" s="7">
        <f>+D41+C41</f>
        <v>7561650.24</v>
      </c>
    </row>
    <row r="42" spans="2:5" ht="12.75">
      <c r="B42" s="1">
        <v>4</v>
      </c>
      <c r="C42" s="7">
        <f>+B42*1060290</f>
        <v>4241160</v>
      </c>
      <c r="D42" s="7">
        <f>+C42*0.16</f>
        <v>678585.6</v>
      </c>
      <c r="E42" s="7">
        <f>+D42+C42</f>
        <v>4919745.6</v>
      </c>
    </row>
    <row r="43" spans="2:5" ht="12.75">
      <c r="B43" s="1">
        <v>4</v>
      </c>
      <c r="C43" s="7">
        <f>+B43*496569</f>
        <v>1986276</v>
      </c>
      <c r="D43" s="7">
        <f>+C43*0.16</f>
        <v>317804.16000000003</v>
      </c>
      <c r="E43" s="7">
        <f>+D43+C43</f>
        <v>2304080.16</v>
      </c>
    </row>
    <row r="44" spans="3:5" ht="12.75">
      <c r="C44" s="7"/>
      <c r="D44" s="7"/>
      <c r="E44" s="49">
        <f>SUM(E39:E43)</f>
        <v>92492859.83999999</v>
      </c>
    </row>
    <row r="45" spans="3:5" ht="12.75">
      <c r="C45" s="7"/>
      <c r="D45" s="7"/>
      <c r="E45" s="7"/>
    </row>
    <row r="46" spans="2:5" ht="12.75">
      <c r="B46" s="1">
        <v>2</v>
      </c>
      <c r="C46" s="7">
        <f>+B46*4412602</f>
        <v>8825204</v>
      </c>
      <c r="D46" s="7">
        <f>+C46*0.16</f>
        <v>1412032.6400000001</v>
      </c>
      <c r="E46" s="7">
        <f>+D46+C46</f>
        <v>10237236.64</v>
      </c>
    </row>
    <row r="47" spans="2:5" ht="12.75">
      <c r="B47" s="1">
        <v>1</v>
      </c>
      <c r="C47" s="7">
        <v>53737069</v>
      </c>
      <c r="D47" s="7">
        <f>+C47*0.16</f>
        <v>8597931.040000001</v>
      </c>
      <c r="E47" s="7">
        <f>+D47+C47</f>
        <v>62335000.04</v>
      </c>
    </row>
    <row r="48" spans="2:5" ht="12.75">
      <c r="B48" s="1">
        <v>1</v>
      </c>
      <c r="C48" s="7">
        <v>28125173</v>
      </c>
      <c r="D48" s="7">
        <f>+C48*0.16</f>
        <v>4500027.68</v>
      </c>
      <c r="E48" s="7">
        <f>+D48+C48</f>
        <v>32625200.68</v>
      </c>
    </row>
    <row r="49" spans="3:5" ht="12.75">
      <c r="C49" s="7"/>
      <c r="D49" s="7"/>
      <c r="E49" s="49">
        <f>SUM(E46:E48)</f>
        <v>105197437.36000001</v>
      </c>
    </row>
    <row r="50" spans="3:5" ht="12.75">
      <c r="C50" s="7"/>
      <c r="D50" s="7"/>
      <c r="E50" s="7"/>
    </row>
    <row r="51" spans="2:5" ht="12.75">
      <c r="B51" s="1">
        <v>1</v>
      </c>
      <c r="C51" s="7">
        <v>131536029</v>
      </c>
      <c r="D51" s="7">
        <f>+C51*0.16</f>
        <v>21045764.64</v>
      </c>
      <c r="E51" s="7">
        <f>+D51+C51</f>
        <v>152581793.64</v>
      </c>
    </row>
    <row r="52" spans="3:5" ht="12.75">
      <c r="C52" s="7"/>
      <c r="D52" s="7"/>
      <c r="E52" s="49">
        <f>SUM(E51)</f>
        <v>152581793.64</v>
      </c>
    </row>
    <row r="53" spans="3:5" ht="12.75">
      <c r="C53" s="7"/>
      <c r="D53" s="7"/>
      <c r="E53" s="50">
        <f>+E52+E49+E44</f>
        <v>350272090.84</v>
      </c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 t="s">
        <v>30</v>
      </c>
      <c r="D56" s="7"/>
      <c r="E56" s="49">
        <f>126448276*1.16</f>
        <v>146680000.16</v>
      </c>
    </row>
    <row r="57" spans="3:5" ht="12.75">
      <c r="C57" s="7" t="s">
        <v>45</v>
      </c>
      <c r="D57" s="7"/>
      <c r="E57" s="7"/>
    </row>
    <row r="58" spans="2:5" ht="12.75">
      <c r="B58" s="1">
        <v>2</v>
      </c>
      <c r="C58" s="7">
        <f>+B58*9475000</f>
        <v>18950000</v>
      </c>
      <c r="D58" s="7">
        <f aca="true" t="shared" si="3" ref="D58:D63">+C58*0.16</f>
        <v>3032000</v>
      </c>
      <c r="E58" s="7">
        <f aca="true" t="shared" si="4" ref="E58:E63">+D58+C58</f>
        <v>21982000</v>
      </c>
    </row>
    <row r="59" spans="2:5" ht="12.75">
      <c r="B59" s="1">
        <v>4</v>
      </c>
      <c r="C59" s="7">
        <f>+B59*10840000</f>
        <v>43360000</v>
      </c>
      <c r="D59" s="7">
        <f t="shared" si="3"/>
        <v>6937600</v>
      </c>
      <c r="E59" s="7">
        <f t="shared" si="4"/>
        <v>50297600</v>
      </c>
    </row>
    <row r="60" spans="2:5" ht="12.75">
      <c r="B60" s="1">
        <v>12</v>
      </c>
      <c r="C60" s="7">
        <f>+B60*379200</f>
        <v>4550400</v>
      </c>
      <c r="D60" s="7">
        <f t="shared" si="3"/>
        <v>728064</v>
      </c>
      <c r="E60" s="7">
        <f t="shared" si="4"/>
        <v>5278464</v>
      </c>
    </row>
    <row r="61" spans="2:5" ht="12.75">
      <c r="B61" s="1">
        <v>4</v>
      </c>
      <c r="C61" s="7">
        <f>+B61*420000</f>
        <v>1680000</v>
      </c>
      <c r="D61" s="7">
        <f t="shared" si="3"/>
        <v>268800</v>
      </c>
      <c r="E61" s="7">
        <f t="shared" si="4"/>
        <v>1948800</v>
      </c>
    </row>
    <row r="62" spans="2:5" ht="12.75">
      <c r="B62" s="1">
        <v>4</v>
      </c>
      <c r="C62" s="7">
        <f>+B62*1392000</f>
        <v>5568000</v>
      </c>
      <c r="D62" s="7">
        <f t="shared" si="3"/>
        <v>890880</v>
      </c>
      <c r="E62" s="7">
        <f t="shared" si="4"/>
        <v>6458880</v>
      </c>
    </row>
    <row r="63" spans="2:5" ht="12.75">
      <c r="B63" s="1">
        <v>4</v>
      </c>
      <c r="C63" s="7">
        <f>+B63*432000</f>
        <v>1728000</v>
      </c>
      <c r="D63" s="7">
        <f t="shared" si="3"/>
        <v>276480</v>
      </c>
      <c r="E63" s="7">
        <f t="shared" si="4"/>
        <v>2004480</v>
      </c>
    </row>
    <row r="64" spans="3:5" ht="12.75">
      <c r="C64" s="7"/>
      <c r="D64" s="7"/>
      <c r="E64" s="49">
        <f>SUM(E58:E63)</f>
        <v>87970224</v>
      </c>
    </row>
    <row r="65" spans="3:5" ht="12.75">
      <c r="C65" s="7" t="s">
        <v>46</v>
      </c>
      <c r="D65" s="7"/>
      <c r="E65" s="7"/>
    </row>
    <row r="66" spans="2:5" ht="12.75">
      <c r="B66" s="1">
        <v>2</v>
      </c>
      <c r="C66" s="7">
        <f>+B66*5252259</f>
        <v>10504518</v>
      </c>
      <c r="D66" s="7">
        <f>+C66*0.16</f>
        <v>1680722.8800000001</v>
      </c>
      <c r="E66" s="7">
        <f>+D66+C66</f>
        <v>12185240.88</v>
      </c>
    </row>
    <row r="67" spans="2:5" ht="12.75">
      <c r="B67" s="1">
        <v>1</v>
      </c>
      <c r="C67" s="7">
        <v>67181250</v>
      </c>
      <c r="D67" s="7">
        <f>+C67*0.16</f>
        <v>10749000</v>
      </c>
      <c r="E67" s="7">
        <f>+D67+C67</f>
        <v>77930250</v>
      </c>
    </row>
    <row r="68" spans="2:5" ht="12.75">
      <c r="B68" s="1">
        <v>1</v>
      </c>
      <c r="C68" s="7">
        <v>13185241</v>
      </c>
      <c r="D68" s="7">
        <f>+C68*0.16</f>
        <v>2109638.56</v>
      </c>
      <c r="E68" s="7">
        <f>+D68+C68</f>
        <v>15294879.56</v>
      </c>
    </row>
    <row r="69" spans="3:5" ht="12.75">
      <c r="C69" s="7"/>
      <c r="D69" s="7"/>
      <c r="E69" s="49">
        <f>SUM(E66:E68)</f>
        <v>105410370.44</v>
      </c>
    </row>
    <row r="70" spans="2:5" ht="12.75">
      <c r="B70" s="1">
        <v>1</v>
      </c>
      <c r="C70" s="7">
        <v>132766901</v>
      </c>
      <c r="D70" s="7">
        <f>+C70*0.16</f>
        <v>21242704.16</v>
      </c>
      <c r="E70" s="7">
        <f>+D70+C70</f>
        <v>154009605.16</v>
      </c>
    </row>
    <row r="71" spans="3:5" ht="12.75">
      <c r="C71" s="7"/>
      <c r="D71" s="7"/>
      <c r="E71" s="49">
        <f>SUM(E70)</f>
        <v>154009605.16</v>
      </c>
    </row>
    <row r="72" spans="3:5" ht="12.75">
      <c r="C72" s="7"/>
      <c r="D72" s="7"/>
      <c r="E72" s="7"/>
    </row>
    <row r="73" spans="3:5" ht="12.75">
      <c r="C73" s="7" t="s">
        <v>38</v>
      </c>
      <c r="D73" s="7"/>
      <c r="E73" s="7"/>
    </row>
    <row r="74" spans="2:5" ht="12.75">
      <c r="B74" s="1">
        <v>2</v>
      </c>
      <c r="C74" s="7">
        <f>+B74*15991380</f>
        <v>31982760</v>
      </c>
      <c r="D74" s="7">
        <f aca="true" t="shared" si="5" ref="D74:D79">+C74*0.16</f>
        <v>5117241.600000001</v>
      </c>
      <c r="E74" s="7">
        <f aca="true" t="shared" si="6" ref="E74:E79">+D74+C74</f>
        <v>37100001.6</v>
      </c>
    </row>
    <row r="75" spans="2:5" ht="12.75">
      <c r="B75" s="1">
        <v>4</v>
      </c>
      <c r="C75" s="7">
        <f>+B75*9568965</f>
        <v>38275860</v>
      </c>
      <c r="D75" s="7">
        <f t="shared" si="5"/>
        <v>6124137.600000001</v>
      </c>
      <c r="E75" s="7">
        <f t="shared" si="6"/>
        <v>44399997.6</v>
      </c>
    </row>
    <row r="76" spans="2:5" ht="12.75">
      <c r="B76" s="1">
        <v>4</v>
      </c>
      <c r="C76" s="7">
        <f>+B76*293103</f>
        <v>1172412</v>
      </c>
      <c r="D76" s="7">
        <f t="shared" si="5"/>
        <v>187585.92</v>
      </c>
      <c r="E76" s="7">
        <f t="shared" si="6"/>
        <v>1359997.92</v>
      </c>
    </row>
    <row r="77" spans="2:5" ht="12.75">
      <c r="B77" s="1">
        <v>12</v>
      </c>
      <c r="C77" s="7">
        <f>+B77*297414</f>
        <v>3568968</v>
      </c>
      <c r="D77" s="7">
        <f t="shared" si="5"/>
        <v>571034.88</v>
      </c>
      <c r="E77" s="7">
        <f t="shared" si="6"/>
        <v>4140002.88</v>
      </c>
    </row>
    <row r="78" spans="2:5" ht="12.75">
      <c r="B78" s="1">
        <v>4</v>
      </c>
      <c r="C78" s="7">
        <f>+B78*258620</f>
        <v>1034480</v>
      </c>
      <c r="D78" s="7">
        <f t="shared" si="5"/>
        <v>165516.80000000002</v>
      </c>
      <c r="E78" s="7">
        <f t="shared" si="6"/>
        <v>1199996.8</v>
      </c>
    </row>
    <row r="79" spans="2:5" ht="12.75">
      <c r="B79" s="1">
        <v>4</v>
      </c>
      <c r="C79" s="7">
        <f>+B79*862069</f>
        <v>3448276</v>
      </c>
      <c r="D79" s="7">
        <f t="shared" si="5"/>
        <v>551724.16</v>
      </c>
      <c r="E79" s="7">
        <f t="shared" si="6"/>
        <v>4000000.16</v>
      </c>
    </row>
    <row r="80" spans="3:5" ht="12.75">
      <c r="C80" s="7"/>
      <c r="D80" s="7"/>
      <c r="E80" s="49">
        <f>SUM(E74:E79)</f>
        <v>92199996.96</v>
      </c>
    </row>
    <row r="81" spans="2:5" ht="12.75">
      <c r="B81" s="1">
        <v>2</v>
      </c>
      <c r="C81" s="7">
        <f>+B81*4450000</f>
        <v>8900000</v>
      </c>
      <c r="D81" s="7">
        <f>+C81*0.16</f>
        <v>1424000</v>
      </c>
      <c r="E81" s="7">
        <f>+D81+C81</f>
        <v>10324000</v>
      </c>
    </row>
    <row r="82" spans="2:5" ht="12.75">
      <c r="B82" s="1">
        <v>1</v>
      </c>
      <c r="C82" s="7">
        <v>11996800</v>
      </c>
      <c r="D82" s="7">
        <f>+C82*0.16</f>
        <v>1919488</v>
      </c>
      <c r="E82" s="7">
        <f>+D82+C82</f>
        <v>13916288</v>
      </c>
    </row>
    <row r="83" spans="2:5" ht="12.75">
      <c r="B83" s="1">
        <v>1</v>
      </c>
      <c r="C83" s="7">
        <v>1391040</v>
      </c>
      <c r="D83" s="7">
        <f>+C83*0.16</f>
        <v>222566.4</v>
      </c>
      <c r="E83" s="7">
        <f>+D83+C83</f>
        <v>1613606.4</v>
      </c>
    </row>
    <row r="84" spans="2:5" ht="12.75">
      <c r="B84" s="1">
        <v>1</v>
      </c>
      <c r="C84" s="7">
        <v>68143194</v>
      </c>
      <c r="D84" s="7">
        <f>+C84*0.16</f>
        <v>10902911.040000001</v>
      </c>
      <c r="E84" s="7">
        <f>+D84+C84</f>
        <v>79046105.04</v>
      </c>
    </row>
    <row r="85" spans="3:5" ht="12.75">
      <c r="C85" s="7"/>
      <c r="D85" s="7"/>
      <c r="E85" s="49">
        <f>SUM(E81:E84)</f>
        <v>104899999.44</v>
      </c>
    </row>
  </sheetData>
  <sheetProtection/>
  <mergeCells count="24">
    <mergeCell ref="B29:C29"/>
    <mergeCell ref="B30:C30"/>
    <mergeCell ref="B6:E6"/>
    <mergeCell ref="B15:E15"/>
    <mergeCell ref="B24:E24"/>
    <mergeCell ref="B19:C19"/>
    <mergeCell ref="B26:C26"/>
    <mergeCell ref="B27:C27"/>
    <mergeCell ref="B28:C28"/>
    <mergeCell ref="B20:C20"/>
    <mergeCell ref="B21:C21"/>
    <mergeCell ref="B25:C25"/>
    <mergeCell ref="B7:C7"/>
    <mergeCell ref="B16:C16"/>
    <mergeCell ref="B17:C17"/>
    <mergeCell ref="B18:C18"/>
    <mergeCell ref="B3:E3"/>
    <mergeCell ref="B4:E4"/>
    <mergeCell ref="B12:C12"/>
    <mergeCell ref="B9:C9"/>
    <mergeCell ref="B5:E5"/>
    <mergeCell ref="B11:C11"/>
    <mergeCell ref="B10:C10"/>
    <mergeCell ref="B8:C8"/>
  </mergeCells>
  <printOptions horizontalCentered="1" verticalCentered="1"/>
  <pageMargins left="0.75" right="0.75" top="1" bottom="1" header="0" footer="0"/>
  <pageSetup horizontalDpi="600" verticalDpi="600" orientation="landscape" scale="110" r:id="rId1"/>
  <ignoredErrors>
    <ignoredError sqref="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ramalaver</cp:lastModifiedBy>
  <cp:lastPrinted>2008-12-24T17:51:13Z</cp:lastPrinted>
  <dcterms:created xsi:type="dcterms:W3CDTF">2006-05-03T14:08:50Z</dcterms:created>
  <dcterms:modified xsi:type="dcterms:W3CDTF">2008-12-26T12:50:43Z</dcterms:modified>
  <cp:category/>
  <cp:version/>
  <cp:contentType/>
  <cp:contentStatus/>
</cp:coreProperties>
</file>